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0" documentId="8_{5CBA3A64-A9C7-440E-87DD-BD8DB1C7F9CE}" xr6:coauthVersionLast="47" xr6:coauthVersionMax="47" xr10:uidLastSave="{9277A631-7E6F-4099-9015-CE52FF516A55}"/>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<sst xmlns="http://schemas.openxmlformats.org/spreadsheetml/2006/main" count="7777" uniqueCount="2648">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</sst>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heetMetadata" Target="metadata.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77493" y="113123"/>
          <a:ext cx="10222576" cy="903191"/>
          <a:chOff x="-24350837" y="191476"/>
          <a:chExt cx="251074291" cy="2218353"/>
        </a:xfrm>
      </xdr:grpSpPr>
      <xdr:sp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16" Type="http://schemas.openxmlformats.org/officeDocument/2006/relationships/ctrlProp" Target="../ctrlProps/ctrlProp13.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trlProp" Target="../ctrlProps/ctrlProp1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vmlDrawing" Target="../drawings/vmlDrawing5.v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5"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499999999999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t="s">
        <v>7</v>
      </c>
      <c r="W14" s="777"/>
      <c r="X14" s="777"/>
      <c r="Y14" s="777"/>
      <c r="Z14" s="778"/>
      <c r="AF14"/>
      <c r="AG14" s="241"/>
      <c r="AH14" s="242"/>
    </row>
    <row r="15" spans="1:39" ht="38.4" customHeight="1">
      <c r="A15" s="779" t="s">
        <v>8</v>
      </c>
      <c r="B15" s="780"/>
      <c r="C15" s="780"/>
      <c r="D15" s="780"/>
      <c r="E15" s="780"/>
      <c r="F15" s="780"/>
      <c r="G15" s="780"/>
      <c r="H15" s="780"/>
      <c r="I15" s="780"/>
      <c r="J15" s="780"/>
      <c r="K15" s="780"/>
      <c r="L15" s="780"/>
      <c r="M15" s="780"/>
      <c r="N15" s="780"/>
      <c r="O15" s="780"/>
      <c r="P15" s="780"/>
      <c r="Q15" s="780"/>
      <c r="R15" s="780"/>
      <c r="S15" s="780"/>
      <c r="T15" s="780"/>
      <c r="U15" s="781"/>
      <c r="V15" s="774" t="s">
        <v>9</v>
      </c>
      <c r="W15" s="775"/>
      <c r="X15" s="775"/>
      <c r="Y15" s="775"/>
      <c r="Z15" s="775"/>
      <c r="AA15" s="775" t="s">
        <v>10</v>
      </c>
      <c r="AB15" s="775"/>
      <c r="AC15" s="775"/>
      <c r="AD15" s="775"/>
      <c r="AE15" s="775"/>
      <c r="AF15" s="243"/>
      <c r="AG15" s="241"/>
      <c r="AH15" s="242"/>
    </row>
    <row r="16" spans="1:39" ht="22.95" customHeight="1">
      <c r="A16" s="782"/>
      <c r="B16" s="783"/>
      <c r="C16" s="783"/>
      <c r="D16" s="783"/>
      <c r="E16" s="783"/>
      <c r="F16" s="783"/>
      <c r="G16" s="783"/>
      <c r="H16" s="783"/>
      <c r="I16" s="783"/>
      <c r="J16" s="783"/>
      <c r="K16" s="783"/>
      <c r="L16" s="783"/>
      <c r="M16" s="783"/>
      <c r="N16" s="783"/>
      <c r="O16" s="783"/>
      <c r="P16" s="783"/>
      <c r="Q16" s="783"/>
      <c r="R16" s="783"/>
      <c r="S16" s="783"/>
      <c r="T16" s="783"/>
      <c r="U16" s="784"/>
      <c r="V16" s="796" t="s">
        <v>11</v>
      </c>
      <c r="W16" s="796"/>
      <c r="X16" s="796"/>
      <c r="Y16" s="796"/>
      <c r="Z16" s="796"/>
      <c r="AA16" s="796" t="s">
        <v>11</v>
      </c>
      <c r="AB16" s="796"/>
      <c r="AC16" s="796"/>
      <c r="AD16" s="796"/>
      <c r="AE16" s="796"/>
      <c r="AF16" s="244"/>
      <c r="AG16" s="64"/>
    </row>
    <row r="17" spans="1:39" ht="12" customHeight="1">
      <c r="A17" s="786" t="s">
        <v>12</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14</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15</v>
      </c>
      <c r="B21" s="768" t="s">
        <v>16</v>
      </c>
      <c r="C21" s="768"/>
      <c r="D21" s="768"/>
      <c r="E21" s="768"/>
      <c r="F21" s="768"/>
      <c r="G21" s="768"/>
      <c r="H21" s="768"/>
      <c r="I21" s="768"/>
      <c r="J21" s="768"/>
      <c r="K21" s="768"/>
      <c r="L21" s="761" t="s">
        <v>17</v>
      </c>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18</v>
      </c>
      <c r="C22" s="768"/>
      <c r="D22" s="768"/>
      <c r="E22" s="768"/>
      <c r="F22" s="768"/>
      <c r="G22" s="768"/>
      <c r="H22" s="768"/>
      <c r="I22" s="768"/>
      <c r="J22" s="768"/>
      <c r="K22" s="768"/>
      <c r="L22" s="761" t="s">
        <v>17</v>
      </c>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19</v>
      </c>
      <c r="B23" s="768" t="s">
        <v>20</v>
      </c>
      <c r="C23" s="768"/>
      <c r="D23" s="768"/>
      <c r="E23" s="768"/>
      <c r="F23" s="768"/>
      <c r="G23" s="768"/>
      <c r="H23" s="768"/>
      <c r="I23" s="768"/>
      <c r="J23" s="768"/>
      <c r="K23" s="768"/>
      <c r="L23" s="789">
        <v>100</v>
      </c>
      <c r="M23" s="790"/>
      <c r="N23" s="790"/>
      <c r="O23" s="791"/>
      <c r="P23" s="695" t="s">
        <v>21</v>
      </c>
      <c r="Q23" s="792" t="s">
        <v>22</v>
      </c>
      <c r="R23" s="793"/>
      <c r="S23" s="793"/>
      <c r="T23" s="793"/>
      <c r="U23" s="794"/>
      <c r="V23" s="228"/>
      <c r="W23" s="228"/>
      <c r="X23" s="228"/>
      <c r="Y23" s="228"/>
      <c r="Z23" s="228"/>
      <c r="AA23" s="67"/>
      <c r="AB23" s="67"/>
      <c r="AC23" s="67"/>
      <c r="AD23" s="67"/>
      <c r="AF23"/>
      <c r="AM23" s="246" t="s">
        <v>23</v>
      </c>
    </row>
    <row r="24" spans="1:39" ht="44.25" customHeight="1">
      <c r="A24" s="812"/>
      <c r="B24" s="813" t="s">
        <v>24</v>
      </c>
      <c r="C24" s="813"/>
      <c r="D24" s="813"/>
      <c r="E24" s="813"/>
      <c r="F24" s="813"/>
      <c r="G24" s="813"/>
      <c r="H24" s="813"/>
      <c r="I24" s="813"/>
      <c r="J24" s="813"/>
      <c r="K24" s="813"/>
      <c r="L24" s="761" t="s">
        <v>25</v>
      </c>
      <c r="M24" s="762"/>
      <c r="N24" s="762"/>
      <c r="O24" s="762"/>
      <c r="P24" s="762"/>
      <c r="Q24" s="762"/>
      <c r="R24" s="762"/>
      <c r="S24" s="762"/>
      <c r="T24" s="762"/>
      <c r="U24" s="762"/>
      <c r="V24" s="762"/>
      <c r="W24" s="762"/>
      <c r="X24" s="762"/>
      <c r="Y24" s="762"/>
      <c r="Z24" s="762"/>
      <c r="AA24" s="762"/>
      <c r="AB24" s="762"/>
      <c r="AC24" s="762"/>
      <c r="AD24" s="763"/>
      <c r="AF24"/>
      <c r="AM24" s="246" t="str">
        <f>L23&amp;"-"&amp;Q23</f>
        <v>100-0005</v>
      </c>
    </row>
    <row r="25" spans="1:39" ht="38.25" customHeight="1">
      <c r="A25" s="720"/>
      <c r="B25" s="813" t="s">
        <v>26</v>
      </c>
      <c r="C25" s="813"/>
      <c r="D25" s="813"/>
      <c r="E25" s="813"/>
      <c r="F25" s="813"/>
      <c r="G25" s="813"/>
      <c r="H25" s="813"/>
      <c r="I25" s="813"/>
      <c r="J25" s="813"/>
      <c r="K25" s="813"/>
      <c r="L25" s="764" t="s">
        <v>27</v>
      </c>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28</v>
      </c>
      <c r="B26" s="767" t="s">
        <v>29</v>
      </c>
      <c r="C26" s="768"/>
      <c r="D26" s="768"/>
      <c r="E26" s="768"/>
      <c r="F26" s="768"/>
      <c r="G26" s="768"/>
      <c r="H26" s="768"/>
      <c r="I26" s="768"/>
      <c r="J26" s="768"/>
      <c r="K26" s="768"/>
      <c r="L26" s="769" t="s">
        <v>30</v>
      </c>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31</v>
      </c>
      <c r="C27" s="799"/>
      <c r="D27" s="799"/>
      <c r="E27" s="799"/>
      <c r="F27" s="799"/>
      <c r="G27" s="799"/>
      <c r="H27" s="799"/>
      <c r="I27" s="799"/>
      <c r="J27" s="799"/>
      <c r="K27" s="767"/>
      <c r="L27" s="769" t="s">
        <v>32</v>
      </c>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33</v>
      </c>
      <c r="B28" s="808"/>
      <c r="C28" s="808"/>
      <c r="D28" s="808"/>
      <c r="E28" s="808"/>
      <c r="F28" s="808"/>
      <c r="G28" s="808"/>
      <c r="H28" s="808"/>
      <c r="I28" s="808"/>
      <c r="J28" s="808"/>
      <c r="K28" s="809"/>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35</v>
      </c>
      <c r="B29" s="768" t="s">
        <v>16</v>
      </c>
      <c r="C29" s="768"/>
      <c r="D29" s="768"/>
      <c r="E29" s="768"/>
      <c r="F29" s="768"/>
      <c r="G29" s="768"/>
      <c r="H29" s="768"/>
      <c r="I29" s="768"/>
      <c r="J29" s="768"/>
      <c r="K29" s="768"/>
      <c r="L29" s="769" t="s">
        <v>36</v>
      </c>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31</v>
      </c>
      <c r="C30" s="805"/>
      <c r="D30" s="805"/>
      <c r="E30" s="805"/>
      <c r="F30" s="805"/>
      <c r="G30" s="805"/>
      <c r="H30" s="805"/>
      <c r="I30" s="805"/>
      <c r="J30" s="805"/>
      <c r="K30" s="805"/>
      <c r="L30" s="769" t="s">
        <v>37</v>
      </c>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38</v>
      </c>
      <c r="B31" s="768" t="s">
        <v>39</v>
      </c>
      <c r="C31" s="768"/>
      <c r="D31" s="768"/>
      <c r="E31" s="768"/>
      <c r="F31" s="768"/>
      <c r="G31" s="768"/>
      <c r="H31" s="768"/>
      <c r="I31" s="768"/>
      <c r="J31" s="768"/>
      <c r="K31" s="768"/>
      <c r="L31" s="769" t="s">
        <v>40</v>
      </c>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41</v>
      </c>
      <c r="C32" s="768"/>
      <c r="D32" s="768"/>
      <c r="E32" s="768"/>
      <c r="F32" s="768"/>
      <c r="G32" s="768"/>
      <c r="H32" s="768"/>
      <c r="I32" s="768"/>
      <c r="J32" s="768"/>
      <c r="K32" s="768"/>
      <c r="L32" s="802" t="s">
        <v>42</v>
      </c>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09" t="s">
        <v>45</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5" customHeight="1" thickBot="1">
      <c r="A36" s="717" t="s">
        <v>46</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t="s">
        <v>47</v>
      </c>
      <c r="AF36" s="249"/>
      <c r="AG36" s="700" t="s">
        <v>48</v>
      </c>
      <c r="AH36" s="701"/>
      <c r="AI36" s="701"/>
      <c r="AJ36" s="701"/>
      <c r="AK36" s="70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49</v>
      </c>
      <c r="B38" s="722" t="s">
        <v>50</v>
      </c>
      <c r="C38" s="723"/>
      <c r="D38" s="723"/>
      <c r="E38" s="723"/>
      <c r="F38" s="723"/>
      <c r="G38" s="723"/>
      <c r="H38" s="723"/>
      <c r="I38" s="723"/>
      <c r="J38" s="723"/>
      <c r="K38" s="724"/>
      <c r="L38" s="722" t="s">
        <v>51</v>
      </c>
      <c r="M38" s="723"/>
      <c r="N38" s="723"/>
      <c r="O38" s="723"/>
      <c r="P38" s="724"/>
      <c r="Q38" s="749" t="s">
        <v>52</v>
      </c>
      <c r="R38" s="750"/>
      <c r="S38" s="750"/>
      <c r="T38" s="750"/>
      <c r="U38" s="750"/>
      <c r="V38" s="751"/>
      <c r="W38" s="730" t="s">
        <v>53</v>
      </c>
      <c r="X38" s="722" t="s">
        <v>54</v>
      </c>
      <c r="Y38" s="724"/>
      <c r="Z38" s="757" t="s">
        <v>55</v>
      </c>
      <c r="AA38" s="752" t="s">
        <v>56</v>
      </c>
      <c r="AB38" s="752" t="s">
        <v>57</v>
      </c>
      <c r="AC38" s="752" t="s">
        <v>58</v>
      </c>
      <c r="AD38" s="730" t="s">
        <v>59</v>
      </c>
      <c r="AE38" s="730" t="s">
        <v>60</v>
      </c>
      <c r="AF38" s="251"/>
      <c r="AG38" s="703"/>
      <c r="AH38" s="704"/>
      <c r="AI38" s="704"/>
      <c r="AJ38" s="704"/>
      <c r="AK38" s="705"/>
    </row>
    <row r="39" spans="1:46" ht="34.200000000000003" customHeight="1" thickBot="1">
      <c r="A39" s="720"/>
      <c r="B39" s="725"/>
      <c r="C39" s="726"/>
      <c r="D39" s="726"/>
      <c r="E39" s="726"/>
      <c r="F39" s="726"/>
      <c r="G39" s="726"/>
      <c r="H39" s="726"/>
      <c r="I39" s="726"/>
      <c r="J39" s="726"/>
      <c r="K39" s="727"/>
      <c r="L39" s="725"/>
      <c r="M39" s="726"/>
      <c r="N39" s="726"/>
      <c r="O39" s="726"/>
      <c r="P39" s="727"/>
      <c r="Q39" s="728" t="s">
        <v>61</v>
      </c>
      <c r="R39" s="729"/>
      <c r="S39" s="729"/>
      <c r="T39" s="729"/>
      <c r="U39" s="729"/>
      <c r="V39" s="584" t="s">
        <v>62</v>
      </c>
      <c r="W39" s="731"/>
      <c r="X39" s="725"/>
      <c r="Y39" s="727"/>
      <c r="Z39" s="758"/>
      <c r="AA39" s="753"/>
      <c r="AB39" s="753"/>
      <c r="AC39" s="753"/>
      <c r="AD39" s="731"/>
      <c r="AE39" s="731"/>
      <c r="AF39" s="251"/>
      <c r="AG39" s="706"/>
      <c r="AH39" s="707"/>
      <c r="AI39" s="707"/>
      <c r="AJ39" s="707"/>
      <c r="AK39" s="708"/>
    </row>
    <row r="40" spans="1:46" ht="49.95" customHeight="1" thickBot="1">
      <c r="A40" s="252">
        <v>1</v>
      </c>
      <c r="B40" s="732" t="s">
        <v>63</v>
      </c>
      <c r="C40" s="733"/>
      <c r="D40" s="733"/>
      <c r="E40" s="733"/>
      <c r="F40" s="733"/>
      <c r="G40" s="733"/>
      <c r="H40" s="733"/>
      <c r="I40" s="733"/>
      <c r="J40" s="733"/>
      <c r="K40" s="733"/>
      <c r="L40" s="759" t="s">
        <v>64</v>
      </c>
      <c r="M40" s="759"/>
      <c r="N40" s="759"/>
      <c r="O40" s="759"/>
      <c r="P40" s="759"/>
      <c r="Q40" s="721" t="s">
        <v>65</v>
      </c>
      <c r="R40" s="721"/>
      <c r="S40" s="721"/>
      <c r="T40" s="721"/>
      <c r="U40" s="721"/>
      <c r="V40" s="586" t="s">
        <v>66</v>
      </c>
      <c r="W40" s="586" t="s">
        <v>67</v>
      </c>
      <c r="X40" s="696" t="s">
        <v>68</v>
      </c>
      <c r="Y40" s="697"/>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5" customHeight="1">
      <c r="A41" s="252">
        <f>A40+1</f>
        <v>2</v>
      </c>
      <c r="B41" s="732" t="s">
        <v>74</v>
      </c>
      <c r="C41" s="733"/>
      <c r="D41" s="733"/>
      <c r="E41" s="733"/>
      <c r="F41" s="733"/>
      <c r="G41" s="733"/>
      <c r="H41" s="733"/>
      <c r="I41" s="733"/>
      <c r="J41" s="733"/>
      <c r="K41" s="733"/>
      <c r="L41" s="759" t="s">
        <v>64</v>
      </c>
      <c r="M41" s="759"/>
      <c r="N41" s="759"/>
      <c r="O41" s="759"/>
      <c r="P41" s="759"/>
      <c r="Q41" s="721" t="s">
        <v>65</v>
      </c>
      <c r="R41" s="721"/>
      <c r="S41" s="721"/>
      <c r="T41" s="721"/>
      <c r="U41" s="721"/>
      <c r="V41" s="586" t="s">
        <v>66</v>
      </c>
      <c r="W41" s="586" t="s">
        <v>75</v>
      </c>
      <c r="X41" s="696" t="s">
        <v>68</v>
      </c>
      <c r="Y41" s="697"/>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15" t="s">
        <v>76</v>
      </c>
      <c r="AH41" s="260" t="s">
        <v>77</v>
      </c>
      <c r="AI41" s="261" t="s">
        <v>78</v>
      </c>
      <c r="AJ41" s="262">
        <f t="shared" ref="AJ41:AJ73" si="1">COUNTIF($Z$40:$Z$2039, AI41)</f>
        <v>1</v>
      </c>
      <c r="AK41" s="716" t="str">
        <f>IF(AJ41=AJ42, "一致", "不一致")</f>
        <v>一致</v>
      </c>
    </row>
    <row r="42" spans="1:46" ht="49.95" customHeight="1">
      <c r="A42" s="252">
        <f t="shared" ref="A42:A78" si="2">A41+1</f>
        <v>3</v>
      </c>
      <c r="B42" s="737" t="s">
        <v>79</v>
      </c>
      <c r="C42" s="738"/>
      <c r="D42" s="738"/>
      <c r="E42" s="738"/>
      <c r="F42" s="738"/>
      <c r="G42" s="738"/>
      <c r="H42" s="738"/>
      <c r="I42" s="738"/>
      <c r="J42" s="738"/>
      <c r="K42" s="739"/>
      <c r="L42" s="734" t="s">
        <v>64</v>
      </c>
      <c r="M42" s="735"/>
      <c r="N42" s="735"/>
      <c r="O42" s="735"/>
      <c r="P42" s="736"/>
      <c r="Q42" s="721" t="s">
        <v>64</v>
      </c>
      <c r="R42" s="721"/>
      <c r="S42" s="721"/>
      <c r="T42" s="721"/>
      <c r="U42" s="721"/>
      <c r="V42" s="586" t="s">
        <v>80</v>
      </c>
      <c r="W42" s="135" t="s">
        <v>81</v>
      </c>
      <c r="X42" s="696" t="s">
        <v>68</v>
      </c>
      <c r="Y42" s="697"/>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14"/>
      <c r="AH42" s="263" t="s">
        <v>82</v>
      </c>
      <c r="AI42" s="264" t="s">
        <v>83</v>
      </c>
      <c r="AJ42" s="265">
        <f t="shared" si="1"/>
        <v>1</v>
      </c>
      <c r="AK42" s="711"/>
    </row>
    <row r="43" spans="1:46" ht="49.95" customHeight="1">
      <c r="A43" s="252">
        <f t="shared" si="2"/>
        <v>4</v>
      </c>
      <c r="B43" s="737" t="s">
        <v>84</v>
      </c>
      <c r="C43" s="738"/>
      <c r="D43" s="738"/>
      <c r="E43" s="738"/>
      <c r="F43" s="738"/>
      <c r="G43" s="738"/>
      <c r="H43" s="738"/>
      <c r="I43" s="738"/>
      <c r="J43" s="738"/>
      <c r="K43" s="739"/>
      <c r="L43" s="734" t="s">
        <v>64</v>
      </c>
      <c r="M43" s="735"/>
      <c r="N43" s="735"/>
      <c r="O43" s="735"/>
      <c r="P43" s="736"/>
      <c r="Q43" s="721" t="s">
        <v>64</v>
      </c>
      <c r="R43" s="721"/>
      <c r="S43" s="721"/>
      <c r="T43" s="721"/>
      <c r="U43" s="721"/>
      <c r="V43" s="586" t="s">
        <v>80</v>
      </c>
      <c r="W43" s="135" t="s">
        <v>85</v>
      </c>
      <c r="X43" s="696" t="s">
        <v>68</v>
      </c>
      <c r="Y43" s="697"/>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10" t="s">
        <v>86</v>
      </c>
      <c r="AH43" s="263" t="s">
        <v>87</v>
      </c>
      <c r="AI43" s="264" t="s">
        <v>88</v>
      </c>
      <c r="AJ43" s="265">
        <f t="shared" si="1"/>
        <v>1</v>
      </c>
      <c r="AK43" s="711" t="str">
        <f>IF(AJ43=AJ44, "一致", "不一致")</f>
        <v>一致</v>
      </c>
    </row>
    <row r="44" spans="1:46" ht="49.95" customHeight="1">
      <c r="A44" s="252">
        <f t="shared" si="2"/>
        <v>5</v>
      </c>
      <c r="B44" s="737" t="s">
        <v>63</v>
      </c>
      <c r="C44" s="738"/>
      <c r="D44" s="738"/>
      <c r="E44" s="738"/>
      <c r="F44" s="738"/>
      <c r="G44" s="738"/>
      <c r="H44" s="738"/>
      <c r="I44" s="738"/>
      <c r="J44" s="738"/>
      <c r="K44" s="739"/>
      <c r="L44" s="734" t="s">
        <v>80</v>
      </c>
      <c r="M44" s="735"/>
      <c r="N44" s="735"/>
      <c r="O44" s="735"/>
      <c r="P44" s="736"/>
      <c r="Q44" s="721" t="s">
        <v>64</v>
      </c>
      <c r="R44" s="721"/>
      <c r="S44" s="721"/>
      <c r="T44" s="721"/>
      <c r="U44" s="721"/>
      <c r="V44" s="586" t="s">
        <v>80</v>
      </c>
      <c r="W44" s="135" t="s">
        <v>89</v>
      </c>
      <c r="X44" s="696" t="s">
        <v>90</v>
      </c>
      <c r="Y44" s="697"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10"/>
      <c r="AH44" s="263" t="s">
        <v>91</v>
      </c>
      <c r="AI44" s="264" t="s">
        <v>92</v>
      </c>
      <c r="AJ44" s="265">
        <f t="shared" si="1"/>
        <v>1</v>
      </c>
      <c r="AK44" s="711"/>
    </row>
    <row r="45" spans="1:46" ht="49.95" customHeight="1">
      <c r="A45" s="252">
        <f t="shared" si="2"/>
        <v>6</v>
      </c>
      <c r="B45" s="737" t="s">
        <v>93</v>
      </c>
      <c r="C45" s="738"/>
      <c r="D45" s="738"/>
      <c r="E45" s="738"/>
      <c r="F45" s="738"/>
      <c r="G45" s="738"/>
      <c r="H45" s="738"/>
      <c r="I45" s="738"/>
      <c r="J45" s="738"/>
      <c r="K45" s="739"/>
      <c r="L45" s="734" t="s">
        <v>80</v>
      </c>
      <c r="M45" s="735"/>
      <c r="N45" s="735"/>
      <c r="O45" s="735"/>
      <c r="P45" s="736"/>
      <c r="Q45" s="721" t="s">
        <v>64</v>
      </c>
      <c r="R45" s="721"/>
      <c r="S45" s="721"/>
      <c r="T45" s="721"/>
      <c r="U45" s="721"/>
      <c r="V45" s="586" t="s">
        <v>80</v>
      </c>
      <c r="W45" s="135" t="s">
        <v>94</v>
      </c>
      <c r="X45" s="696" t="s">
        <v>95</v>
      </c>
      <c r="Y45" s="697"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14" t="s">
        <v>96</v>
      </c>
      <c r="AH45" s="263" t="s">
        <v>97</v>
      </c>
      <c r="AI45" s="264" t="s">
        <v>98</v>
      </c>
      <c r="AJ45" s="265">
        <f t="shared" si="1"/>
        <v>1</v>
      </c>
      <c r="AK45" s="711" t="str">
        <f>IF(AND(AJ45=AJ46, AJ46=AJ47), "一致", "不一致")</f>
        <v>一致</v>
      </c>
    </row>
    <row r="46" spans="1:46" ht="49.95" customHeight="1">
      <c r="A46" s="252">
        <f t="shared" si="2"/>
        <v>7</v>
      </c>
      <c r="B46" s="737" t="s">
        <v>99</v>
      </c>
      <c r="C46" s="738"/>
      <c r="D46" s="738"/>
      <c r="E46" s="738"/>
      <c r="F46" s="738"/>
      <c r="G46" s="738"/>
      <c r="H46" s="738"/>
      <c r="I46" s="738"/>
      <c r="J46" s="738"/>
      <c r="K46" s="739"/>
      <c r="L46" s="734" t="s">
        <v>64</v>
      </c>
      <c r="M46" s="735"/>
      <c r="N46" s="735"/>
      <c r="O46" s="735"/>
      <c r="P46" s="736"/>
      <c r="Q46" s="721" t="s">
        <v>64</v>
      </c>
      <c r="R46" s="721"/>
      <c r="S46" s="721"/>
      <c r="T46" s="721"/>
      <c r="U46" s="721"/>
      <c r="V46" s="586" t="s">
        <v>80</v>
      </c>
      <c r="W46" s="135" t="s">
        <v>100</v>
      </c>
      <c r="X46" s="696" t="s">
        <v>77</v>
      </c>
      <c r="Y46" s="697"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14"/>
      <c r="AH46" s="263" t="s">
        <v>101</v>
      </c>
      <c r="AI46" s="264" t="s">
        <v>102</v>
      </c>
      <c r="AJ46" s="265">
        <f t="shared" si="1"/>
        <v>1</v>
      </c>
      <c r="AK46" s="711"/>
    </row>
    <row r="47" spans="1:46" ht="49.95" customHeight="1">
      <c r="A47" s="252">
        <f t="shared" si="2"/>
        <v>8</v>
      </c>
      <c r="B47" s="737" t="s">
        <v>103</v>
      </c>
      <c r="C47" s="738"/>
      <c r="D47" s="738"/>
      <c r="E47" s="738"/>
      <c r="F47" s="738"/>
      <c r="G47" s="738"/>
      <c r="H47" s="738"/>
      <c r="I47" s="738"/>
      <c r="J47" s="738"/>
      <c r="K47" s="739"/>
      <c r="L47" s="734" t="s">
        <v>64</v>
      </c>
      <c r="M47" s="735"/>
      <c r="N47" s="735"/>
      <c r="O47" s="735"/>
      <c r="P47" s="736"/>
      <c r="Q47" s="721" t="s">
        <v>64</v>
      </c>
      <c r="R47" s="721"/>
      <c r="S47" s="721"/>
      <c r="T47" s="721"/>
      <c r="U47" s="721"/>
      <c r="V47" s="586" t="s">
        <v>80</v>
      </c>
      <c r="W47" s="135" t="s">
        <v>100</v>
      </c>
      <c r="X47" s="696" t="s">
        <v>104</v>
      </c>
      <c r="Y47" s="697"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14"/>
      <c r="AH47" s="263" t="s">
        <v>105</v>
      </c>
      <c r="AI47" s="264" t="s">
        <v>106</v>
      </c>
      <c r="AJ47" s="265">
        <f t="shared" si="1"/>
        <v>1</v>
      </c>
      <c r="AK47" s="711"/>
    </row>
    <row r="48" spans="1:46" ht="49.95" customHeight="1">
      <c r="A48" s="252">
        <f t="shared" si="2"/>
        <v>9</v>
      </c>
      <c r="B48" s="737" t="s">
        <v>107</v>
      </c>
      <c r="C48" s="738"/>
      <c r="D48" s="738"/>
      <c r="E48" s="738"/>
      <c r="F48" s="738"/>
      <c r="G48" s="738"/>
      <c r="H48" s="738"/>
      <c r="I48" s="738"/>
      <c r="J48" s="738"/>
      <c r="K48" s="739"/>
      <c r="L48" s="734" t="s">
        <v>64</v>
      </c>
      <c r="M48" s="735"/>
      <c r="N48" s="735"/>
      <c r="O48" s="735"/>
      <c r="P48" s="736"/>
      <c r="Q48" s="721" t="s">
        <v>64</v>
      </c>
      <c r="R48" s="721"/>
      <c r="S48" s="721"/>
      <c r="T48" s="721"/>
      <c r="U48" s="721"/>
      <c r="V48" s="586" t="s">
        <v>80</v>
      </c>
      <c r="W48" s="135" t="s">
        <v>108</v>
      </c>
      <c r="X48" s="696" t="s">
        <v>109</v>
      </c>
      <c r="Y48" s="697"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14" t="s">
        <v>110</v>
      </c>
      <c r="AH48" s="263" t="s">
        <v>111</v>
      </c>
      <c r="AI48" s="264" t="s">
        <v>112</v>
      </c>
      <c r="AJ48" s="265">
        <f t="shared" si="1"/>
        <v>1</v>
      </c>
      <c r="AK48" s="711" t="str">
        <f>IF(AJ48=AJ49, "一致", "不一致")</f>
        <v>一致</v>
      </c>
    </row>
    <row r="49" spans="1:37" ht="49.95" customHeight="1">
      <c r="A49" s="252">
        <f t="shared" si="2"/>
        <v>10</v>
      </c>
      <c r="B49" s="737" t="s">
        <v>113</v>
      </c>
      <c r="C49" s="738"/>
      <c r="D49" s="738"/>
      <c r="E49" s="738"/>
      <c r="F49" s="738"/>
      <c r="G49" s="738"/>
      <c r="H49" s="738"/>
      <c r="I49" s="738"/>
      <c r="J49" s="738"/>
      <c r="K49" s="739"/>
      <c r="L49" s="734" t="s">
        <v>80</v>
      </c>
      <c r="M49" s="735"/>
      <c r="N49" s="735"/>
      <c r="O49" s="735"/>
      <c r="P49" s="736"/>
      <c r="Q49" s="721" t="s">
        <v>64</v>
      </c>
      <c r="R49" s="721"/>
      <c r="S49" s="721"/>
      <c r="T49" s="721"/>
      <c r="U49" s="721"/>
      <c r="V49" s="586" t="s">
        <v>80</v>
      </c>
      <c r="W49" s="135" t="s">
        <v>108</v>
      </c>
      <c r="X49" s="696" t="s">
        <v>114</v>
      </c>
      <c r="Y49" s="697"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14"/>
      <c r="AH49" s="263" t="s">
        <v>115</v>
      </c>
      <c r="AI49" s="264" t="s">
        <v>116</v>
      </c>
      <c r="AJ49" s="265">
        <f t="shared" si="1"/>
        <v>1</v>
      </c>
      <c r="AK49" s="711"/>
    </row>
    <row r="50" spans="1:37" ht="49.95" customHeight="1">
      <c r="A50" s="252">
        <f t="shared" si="2"/>
        <v>11</v>
      </c>
      <c r="B50" s="737" t="s">
        <v>117</v>
      </c>
      <c r="C50" s="738"/>
      <c r="D50" s="738"/>
      <c r="E50" s="738"/>
      <c r="F50" s="738"/>
      <c r="G50" s="738"/>
      <c r="H50" s="738"/>
      <c r="I50" s="738"/>
      <c r="J50" s="738"/>
      <c r="K50" s="739"/>
      <c r="L50" s="734" t="s">
        <v>64</v>
      </c>
      <c r="M50" s="735"/>
      <c r="N50" s="735"/>
      <c r="O50" s="735"/>
      <c r="P50" s="736"/>
      <c r="Q50" s="721" t="s">
        <v>64</v>
      </c>
      <c r="R50" s="721"/>
      <c r="S50" s="721"/>
      <c r="T50" s="721"/>
      <c r="U50" s="721"/>
      <c r="V50" s="586" t="s">
        <v>80</v>
      </c>
      <c r="W50" s="135" t="s">
        <v>118</v>
      </c>
      <c r="X50" s="696" t="s">
        <v>119</v>
      </c>
      <c r="Y50" s="697"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14" t="s">
        <v>120</v>
      </c>
      <c r="AH50" s="263" t="s">
        <v>121</v>
      </c>
      <c r="AI50" s="264" t="s">
        <v>122</v>
      </c>
      <c r="AJ50" s="265">
        <f t="shared" si="1"/>
        <v>1</v>
      </c>
      <c r="AK50" s="711" t="str">
        <f>IF(AJ50=AJ51, "一致", "不一致")</f>
        <v>一致</v>
      </c>
    </row>
    <row r="51" spans="1:37" ht="49.95" customHeight="1">
      <c r="A51" s="252">
        <f t="shared" si="2"/>
        <v>12</v>
      </c>
      <c r="B51" s="737" t="s">
        <v>123</v>
      </c>
      <c r="C51" s="738"/>
      <c r="D51" s="738"/>
      <c r="E51" s="738"/>
      <c r="F51" s="738"/>
      <c r="G51" s="738"/>
      <c r="H51" s="738"/>
      <c r="I51" s="738"/>
      <c r="J51" s="738"/>
      <c r="K51" s="739"/>
      <c r="L51" s="734" t="s">
        <v>64</v>
      </c>
      <c r="M51" s="735"/>
      <c r="N51" s="735"/>
      <c r="O51" s="735"/>
      <c r="P51" s="736"/>
      <c r="Q51" s="721" t="s">
        <v>64</v>
      </c>
      <c r="R51" s="721"/>
      <c r="S51" s="721"/>
      <c r="T51" s="721"/>
      <c r="U51" s="721"/>
      <c r="V51" s="586" t="s">
        <v>80</v>
      </c>
      <c r="W51" s="135" t="s">
        <v>118</v>
      </c>
      <c r="X51" s="696" t="s">
        <v>124</v>
      </c>
      <c r="Y51" s="697"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14"/>
      <c r="AH51" s="263" t="s">
        <v>125</v>
      </c>
      <c r="AI51" s="264" t="s">
        <v>126</v>
      </c>
      <c r="AJ51" s="265">
        <f t="shared" si="1"/>
        <v>1</v>
      </c>
      <c r="AK51" s="711"/>
    </row>
    <row r="52" spans="1:37" ht="49.95" customHeight="1">
      <c r="A52" s="252">
        <f t="shared" si="2"/>
        <v>13</v>
      </c>
      <c r="B52" s="737" t="s">
        <v>127</v>
      </c>
      <c r="C52" s="738"/>
      <c r="D52" s="738"/>
      <c r="E52" s="738"/>
      <c r="F52" s="738"/>
      <c r="G52" s="738"/>
      <c r="H52" s="738"/>
      <c r="I52" s="738"/>
      <c r="J52" s="738"/>
      <c r="K52" s="739"/>
      <c r="L52" s="734" t="s">
        <v>64</v>
      </c>
      <c r="M52" s="735"/>
      <c r="N52" s="735"/>
      <c r="O52" s="735"/>
      <c r="P52" s="736"/>
      <c r="Q52" s="721" t="s">
        <v>64</v>
      </c>
      <c r="R52" s="721"/>
      <c r="S52" s="721"/>
      <c r="T52" s="721"/>
      <c r="U52" s="721"/>
      <c r="V52" s="586" t="s">
        <v>80</v>
      </c>
      <c r="W52" s="135" t="s">
        <v>128</v>
      </c>
      <c r="X52" s="696" t="s">
        <v>129</v>
      </c>
      <c r="Y52" s="697"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14" t="s">
        <v>130</v>
      </c>
      <c r="AH52" s="263" t="s">
        <v>131</v>
      </c>
      <c r="AI52" s="264" t="s">
        <v>132</v>
      </c>
      <c r="AJ52" s="265">
        <f t="shared" si="1"/>
        <v>1</v>
      </c>
      <c r="AK52" s="711" t="str">
        <f>IF(AND(AJ52=AJ53, AJ53=AJ54, AJ54=AJ55), "一致", "不一致")</f>
        <v>一致</v>
      </c>
    </row>
    <row r="53" spans="1:37" ht="49.95" customHeight="1">
      <c r="A53" s="252">
        <f t="shared" si="2"/>
        <v>14</v>
      </c>
      <c r="B53" s="737" t="s">
        <v>133</v>
      </c>
      <c r="C53" s="738"/>
      <c r="D53" s="738"/>
      <c r="E53" s="738"/>
      <c r="F53" s="738"/>
      <c r="G53" s="738"/>
      <c r="H53" s="738"/>
      <c r="I53" s="738"/>
      <c r="J53" s="738"/>
      <c r="K53" s="739"/>
      <c r="L53" s="734" t="s">
        <v>64</v>
      </c>
      <c r="M53" s="735"/>
      <c r="N53" s="735"/>
      <c r="O53" s="735"/>
      <c r="P53" s="736"/>
      <c r="Q53" s="721" t="s">
        <v>64</v>
      </c>
      <c r="R53" s="721"/>
      <c r="S53" s="721"/>
      <c r="T53" s="721"/>
      <c r="U53" s="721"/>
      <c r="V53" s="586" t="s">
        <v>80</v>
      </c>
      <c r="W53" s="135" t="s">
        <v>128</v>
      </c>
      <c r="X53" s="696" t="s">
        <v>134</v>
      </c>
      <c r="Y53" s="697"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14"/>
      <c r="AH53" s="263" t="s">
        <v>135</v>
      </c>
      <c r="AI53" s="264" t="s">
        <v>136</v>
      </c>
      <c r="AJ53" s="265">
        <f t="shared" si="1"/>
        <v>1</v>
      </c>
      <c r="AK53" s="711"/>
    </row>
    <row r="54" spans="1:37" ht="49.95" customHeight="1">
      <c r="A54" s="252">
        <f t="shared" si="2"/>
        <v>15</v>
      </c>
      <c r="B54" s="737" t="s">
        <v>137</v>
      </c>
      <c r="C54" s="738"/>
      <c r="D54" s="738"/>
      <c r="E54" s="738"/>
      <c r="F54" s="738"/>
      <c r="G54" s="738"/>
      <c r="H54" s="738"/>
      <c r="I54" s="738"/>
      <c r="J54" s="738"/>
      <c r="K54" s="739"/>
      <c r="L54" s="734" t="s">
        <v>64</v>
      </c>
      <c r="M54" s="735"/>
      <c r="N54" s="735"/>
      <c r="O54" s="735"/>
      <c r="P54" s="736"/>
      <c r="Q54" s="721" t="s">
        <v>64</v>
      </c>
      <c r="R54" s="721"/>
      <c r="S54" s="721"/>
      <c r="T54" s="721"/>
      <c r="U54" s="721"/>
      <c r="V54" s="586" t="s">
        <v>80</v>
      </c>
      <c r="W54" s="135" t="s">
        <v>128</v>
      </c>
      <c r="X54" s="696" t="s">
        <v>138</v>
      </c>
      <c r="Y54" s="697"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14"/>
      <c r="AH54" s="263" t="s">
        <v>139</v>
      </c>
      <c r="AI54" s="264" t="s">
        <v>140</v>
      </c>
      <c r="AJ54" s="265">
        <f t="shared" si="1"/>
        <v>1</v>
      </c>
      <c r="AK54" s="711"/>
    </row>
    <row r="55" spans="1:37" ht="49.95" customHeight="1">
      <c r="A55" s="252">
        <f t="shared" si="2"/>
        <v>16</v>
      </c>
      <c r="B55" s="737" t="s">
        <v>141</v>
      </c>
      <c r="C55" s="738"/>
      <c r="D55" s="738"/>
      <c r="E55" s="738"/>
      <c r="F55" s="738"/>
      <c r="G55" s="738"/>
      <c r="H55" s="738"/>
      <c r="I55" s="738"/>
      <c r="J55" s="738"/>
      <c r="K55" s="739"/>
      <c r="L55" s="734" t="s">
        <v>80</v>
      </c>
      <c r="M55" s="735"/>
      <c r="N55" s="735"/>
      <c r="O55" s="735"/>
      <c r="P55" s="736"/>
      <c r="Q55" s="721" t="s">
        <v>64</v>
      </c>
      <c r="R55" s="721"/>
      <c r="S55" s="721"/>
      <c r="T55" s="721"/>
      <c r="U55" s="721"/>
      <c r="V55" s="586" t="s">
        <v>80</v>
      </c>
      <c r="W55" s="135" t="s">
        <v>128</v>
      </c>
      <c r="X55" s="696" t="s">
        <v>142</v>
      </c>
      <c r="Y55" s="697"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14"/>
      <c r="AH55" s="263" t="s">
        <v>143</v>
      </c>
      <c r="AI55" s="264" t="s">
        <v>144</v>
      </c>
      <c r="AJ55" s="265">
        <f t="shared" si="1"/>
        <v>1</v>
      </c>
      <c r="AK55" s="711"/>
    </row>
    <row r="56" spans="1:37" ht="49.95" customHeight="1">
      <c r="A56" s="252">
        <f t="shared" si="2"/>
        <v>17</v>
      </c>
      <c r="B56" s="737" t="s">
        <v>145</v>
      </c>
      <c r="C56" s="738"/>
      <c r="D56" s="738"/>
      <c r="E56" s="738"/>
      <c r="F56" s="738"/>
      <c r="G56" s="738"/>
      <c r="H56" s="738"/>
      <c r="I56" s="738"/>
      <c r="J56" s="738"/>
      <c r="K56" s="739"/>
      <c r="L56" s="734" t="s">
        <v>80</v>
      </c>
      <c r="M56" s="735"/>
      <c r="N56" s="735"/>
      <c r="O56" s="735"/>
      <c r="P56" s="736"/>
      <c r="Q56" s="721" t="s">
        <v>64</v>
      </c>
      <c r="R56" s="721"/>
      <c r="S56" s="721"/>
      <c r="T56" s="721"/>
      <c r="U56" s="721"/>
      <c r="V56" s="586" t="s">
        <v>80</v>
      </c>
      <c r="W56" s="135" t="s">
        <v>128</v>
      </c>
      <c r="X56" s="696" t="s">
        <v>146</v>
      </c>
      <c r="Y56" s="697"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14" t="s">
        <v>147</v>
      </c>
      <c r="AH56" s="263" t="s">
        <v>148</v>
      </c>
      <c r="AI56" s="264" t="s">
        <v>149</v>
      </c>
      <c r="AJ56" s="265">
        <f t="shared" si="1"/>
        <v>1</v>
      </c>
      <c r="AK56" s="711" t="str">
        <f>IF(AJ56=AJ57, "一致", "不一致")</f>
        <v>一致</v>
      </c>
    </row>
    <row r="57" spans="1:37" ht="49.95" customHeight="1">
      <c r="A57" s="252">
        <f t="shared" si="2"/>
        <v>18</v>
      </c>
      <c r="B57" s="737" t="s">
        <v>150</v>
      </c>
      <c r="C57" s="738"/>
      <c r="D57" s="738"/>
      <c r="E57" s="738"/>
      <c r="F57" s="738"/>
      <c r="G57" s="738"/>
      <c r="H57" s="738"/>
      <c r="I57" s="738"/>
      <c r="J57" s="738"/>
      <c r="K57" s="739"/>
      <c r="L57" s="734" t="s">
        <v>80</v>
      </c>
      <c r="M57" s="735"/>
      <c r="N57" s="735"/>
      <c r="O57" s="735"/>
      <c r="P57" s="736"/>
      <c r="Q57" s="721" t="s">
        <v>64</v>
      </c>
      <c r="R57" s="721"/>
      <c r="S57" s="721"/>
      <c r="T57" s="721"/>
      <c r="U57" s="721"/>
      <c r="V57" s="586" t="s">
        <v>80</v>
      </c>
      <c r="W57" s="135" t="s">
        <v>108</v>
      </c>
      <c r="X57" s="696" t="s">
        <v>151</v>
      </c>
      <c r="Y57" s="697"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14"/>
      <c r="AH57" s="263" t="s">
        <v>152</v>
      </c>
      <c r="AI57" s="264" t="s">
        <v>153</v>
      </c>
      <c r="AJ57" s="265">
        <f t="shared" si="1"/>
        <v>1</v>
      </c>
      <c r="AK57" s="711"/>
    </row>
    <row r="58" spans="1:37" ht="49.95" customHeight="1">
      <c r="A58" s="252">
        <f t="shared" si="2"/>
        <v>19</v>
      </c>
      <c r="B58" s="737" t="s">
        <v>154</v>
      </c>
      <c r="C58" s="738"/>
      <c r="D58" s="738"/>
      <c r="E58" s="738"/>
      <c r="F58" s="738"/>
      <c r="G58" s="738"/>
      <c r="H58" s="738"/>
      <c r="I58" s="738"/>
      <c r="J58" s="738"/>
      <c r="K58" s="739"/>
      <c r="L58" s="734" t="s">
        <v>80</v>
      </c>
      <c r="M58" s="735"/>
      <c r="N58" s="735"/>
      <c r="O58" s="735"/>
      <c r="P58" s="736"/>
      <c r="Q58" s="721" t="s">
        <v>64</v>
      </c>
      <c r="R58" s="721"/>
      <c r="S58" s="721"/>
      <c r="T58" s="721"/>
      <c r="U58" s="721"/>
      <c r="V58" s="586" t="s">
        <v>80</v>
      </c>
      <c r="W58" s="135" t="s">
        <v>108</v>
      </c>
      <c r="X58" s="696" t="s">
        <v>155</v>
      </c>
      <c r="Y58" s="697"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14" t="s">
        <v>156</v>
      </c>
      <c r="AH58" s="263" t="s">
        <v>157</v>
      </c>
      <c r="AI58" s="264" t="s">
        <v>158</v>
      </c>
      <c r="AJ58" s="265">
        <f t="shared" si="1"/>
        <v>1</v>
      </c>
      <c r="AK58" s="711" t="str">
        <f>IF(AND(AJ58=AJ59, AJ59=AJ60, AJ60=AJ61), "一致", "不一致")</f>
        <v>一致</v>
      </c>
    </row>
    <row r="59" spans="1:37" ht="49.95" customHeight="1">
      <c r="A59" s="252">
        <f t="shared" si="2"/>
        <v>20</v>
      </c>
      <c r="B59" s="737" t="s">
        <v>159</v>
      </c>
      <c r="C59" s="738"/>
      <c r="D59" s="738"/>
      <c r="E59" s="738"/>
      <c r="F59" s="738"/>
      <c r="G59" s="738"/>
      <c r="H59" s="738"/>
      <c r="I59" s="738"/>
      <c r="J59" s="738"/>
      <c r="K59" s="739"/>
      <c r="L59" s="734" t="s">
        <v>80</v>
      </c>
      <c r="M59" s="735"/>
      <c r="N59" s="735"/>
      <c r="O59" s="735"/>
      <c r="P59" s="736"/>
      <c r="Q59" s="721" t="s">
        <v>64</v>
      </c>
      <c r="R59" s="721"/>
      <c r="S59" s="721"/>
      <c r="T59" s="721"/>
      <c r="U59" s="721"/>
      <c r="V59" s="586" t="s">
        <v>80</v>
      </c>
      <c r="W59" s="135" t="s">
        <v>160</v>
      </c>
      <c r="X59" s="696" t="s">
        <v>161</v>
      </c>
      <c r="Y59" s="697"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14"/>
      <c r="AH59" s="263" t="s">
        <v>162</v>
      </c>
      <c r="AI59" s="264" t="s">
        <v>163</v>
      </c>
      <c r="AJ59" s="265">
        <f t="shared" si="1"/>
        <v>1</v>
      </c>
      <c r="AK59" s="711"/>
    </row>
    <row r="60" spans="1:37" ht="49.95" customHeight="1">
      <c r="A60" s="252">
        <f t="shared" si="2"/>
        <v>21</v>
      </c>
      <c r="B60" s="737" t="s">
        <v>164</v>
      </c>
      <c r="C60" s="738"/>
      <c r="D60" s="738"/>
      <c r="E60" s="738"/>
      <c r="F60" s="738"/>
      <c r="G60" s="738"/>
      <c r="H60" s="738"/>
      <c r="I60" s="738"/>
      <c r="J60" s="738"/>
      <c r="K60" s="739"/>
      <c r="L60" s="734" t="s">
        <v>80</v>
      </c>
      <c r="M60" s="735"/>
      <c r="N60" s="735"/>
      <c r="O60" s="735"/>
      <c r="P60" s="736"/>
      <c r="Q60" s="721" t="s">
        <v>64</v>
      </c>
      <c r="R60" s="721"/>
      <c r="S60" s="721"/>
      <c r="T60" s="721"/>
      <c r="U60" s="721"/>
      <c r="V60" s="586" t="s">
        <v>80</v>
      </c>
      <c r="W60" s="135" t="s">
        <v>160</v>
      </c>
      <c r="X60" s="696" t="s">
        <v>165</v>
      </c>
      <c r="Y60" s="697"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14"/>
      <c r="AH60" s="263" t="s">
        <v>166</v>
      </c>
      <c r="AI60" s="264" t="s">
        <v>167</v>
      </c>
      <c r="AJ60" s="265">
        <f t="shared" si="1"/>
        <v>1</v>
      </c>
      <c r="AK60" s="711"/>
    </row>
    <row r="61" spans="1:37" ht="49.95" customHeight="1">
      <c r="A61" s="252">
        <f t="shared" si="2"/>
        <v>22</v>
      </c>
      <c r="B61" s="737" t="s">
        <v>168</v>
      </c>
      <c r="C61" s="738"/>
      <c r="D61" s="738"/>
      <c r="E61" s="738"/>
      <c r="F61" s="738"/>
      <c r="G61" s="738"/>
      <c r="H61" s="738"/>
      <c r="I61" s="738"/>
      <c r="J61" s="738"/>
      <c r="K61" s="739"/>
      <c r="L61" s="734" t="s">
        <v>80</v>
      </c>
      <c r="M61" s="735"/>
      <c r="N61" s="735"/>
      <c r="O61" s="735"/>
      <c r="P61" s="736"/>
      <c r="Q61" s="721" t="s">
        <v>64</v>
      </c>
      <c r="R61" s="721"/>
      <c r="S61" s="721"/>
      <c r="T61" s="721"/>
      <c r="U61" s="721"/>
      <c r="V61" s="586" t="s">
        <v>80</v>
      </c>
      <c r="W61" s="135" t="s">
        <v>160</v>
      </c>
      <c r="X61" s="696" t="s">
        <v>169</v>
      </c>
      <c r="Y61" s="697"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14"/>
      <c r="AH61" s="263" t="s">
        <v>170</v>
      </c>
      <c r="AI61" s="264" t="s">
        <v>171</v>
      </c>
      <c r="AJ61" s="265">
        <f t="shared" si="1"/>
        <v>1</v>
      </c>
      <c r="AK61" s="711"/>
    </row>
    <row r="62" spans="1:37" ht="49.95" customHeight="1">
      <c r="A62" s="252">
        <f t="shared" si="2"/>
        <v>23</v>
      </c>
      <c r="B62" s="737" t="s">
        <v>172</v>
      </c>
      <c r="C62" s="738"/>
      <c r="D62" s="738"/>
      <c r="E62" s="738"/>
      <c r="F62" s="738"/>
      <c r="G62" s="738"/>
      <c r="H62" s="738"/>
      <c r="I62" s="738"/>
      <c r="J62" s="738"/>
      <c r="K62" s="739"/>
      <c r="L62" s="734" t="s">
        <v>80</v>
      </c>
      <c r="M62" s="735"/>
      <c r="N62" s="735"/>
      <c r="O62" s="735"/>
      <c r="P62" s="736"/>
      <c r="Q62" s="721" t="s">
        <v>64</v>
      </c>
      <c r="R62" s="721"/>
      <c r="S62" s="721"/>
      <c r="T62" s="721"/>
      <c r="U62" s="721"/>
      <c r="V62" s="586" t="s">
        <v>80</v>
      </c>
      <c r="W62" s="135" t="s">
        <v>160</v>
      </c>
      <c r="X62" s="696" t="s">
        <v>173</v>
      </c>
      <c r="Y62" s="697"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14" t="s">
        <v>174</v>
      </c>
      <c r="AH62" s="263" t="s">
        <v>175</v>
      </c>
      <c r="AI62" s="264" t="s">
        <v>176</v>
      </c>
      <c r="AJ62" s="265">
        <f t="shared" si="1"/>
        <v>1</v>
      </c>
      <c r="AK62" s="711" t="str">
        <f>IF(AJ62=AJ63, "一致", "不一致")</f>
        <v>一致</v>
      </c>
    </row>
    <row r="63" spans="1:37" ht="49.95" customHeight="1">
      <c r="A63" s="252">
        <f t="shared" si="2"/>
        <v>24</v>
      </c>
      <c r="B63" s="737" t="s">
        <v>177</v>
      </c>
      <c r="C63" s="738"/>
      <c r="D63" s="738"/>
      <c r="E63" s="738"/>
      <c r="F63" s="738"/>
      <c r="G63" s="738"/>
      <c r="H63" s="738"/>
      <c r="I63" s="738"/>
      <c r="J63" s="738"/>
      <c r="K63" s="739"/>
      <c r="L63" s="734" t="s">
        <v>80</v>
      </c>
      <c r="M63" s="735"/>
      <c r="N63" s="735"/>
      <c r="O63" s="735"/>
      <c r="P63" s="736"/>
      <c r="Q63" s="721" t="s">
        <v>64</v>
      </c>
      <c r="R63" s="721"/>
      <c r="S63" s="721"/>
      <c r="T63" s="721"/>
      <c r="U63" s="721"/>
      <c r="V63" s="586" t="s">
        <v>80</v>
      </c>
      <c r="W63" s="135" t="s">
        <v>178</v>
      </c>
      <c r="X63" s="696" t="s">
        <v>179</v>
      </c>
      <c r="Y63" s="697"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14"/>
      <c r="AH63" s="263" t="s">
        <v>180</v>
      </c>
      <c r="AI63" s="264" t="s">
        <v>181</v>
      </c>
      <c r="AJ63" s="265">
        <f t="shared" si="1"/>
        <v>1</v>
      </c>
      <c r="AK63" s="711"/>
    </row>
    <row r="64" spans="1:37" ht="49.95" customHeight="1">
      <c r="A64" s="252">
        <f t="shared" si="2"/>
        <v>25</v>
      </c>
      <c r="B64" s="737" t="s">
        <v>182</v>
      </c>
      <c r="C64" s="738"/>
      <c r="D64" s="738"/>
      <c r="E64" s="738"/>
      <c r="F64" s="738"/>
      <c r="G64" s="738"/>
      <c r="H64" s="738"/>
      <c r="I64" s="738"/>
      <c r="J64" s="738"/>
      <c r="K64" s="739"/>
      <c r="L64" s="734" t="s">
        <v>80</v>
      </c>
      <c r="M64" s="735"/>
      <c r="N64" s="735"/>
      <c r="O64" s="735"/>
      <c r="P64" s="736"/>
      <c r="Q64" s="721" t="s">
        <v>64</v>
      </c>
      <c r="R64" s="721"/>
      <c r="S64" s="721"/>
      <c r="T64" s="721"/>
      <c r="U64" s="721"/>
      <c r="V64" s="586" t="s">
        <v>80</v>
      </c>
      <c r="W64" s="135" t="s">
        <v>178</v>
      </c>
      <c r="X64" s="696" t="s">
        <v>183</v>
      </c>
      <c r="Y64" s="697"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10" t="s">
        <v>184</v>
      </c>
      <c r="AH64" s="263" t="s">
        <v>185</v>
      </c>
      <c r="AI64" s="264" t="s">
        <v>186</v>
      </c>
      <c r="AJ64" s="265">
        <f t="shared" si="1"/>
        <v>1</v>
      </c>
      <c r="AK64" s="711" t="str">
        <f>IF(AJ64=AJ65, "一致", "不一致")</f>
        <v>一致</v>
      </c>
    </row>
    <row r="65" spans="1:37" ht="49.95" customHeight="1">
      <c r="A65" s="252">
        <f t="shared" si="2"/>
        <v>26</v>
      </c>
      <c r="B65" s="737" t="s">
        <v>187</v>
      </c>
      <c r="C65" s="738"/>
      <c r="D65" s="738"/>
      <c r="E65" s="738"/>
      <c r="F65" s="738"/>
      <c r="G65" s="738"/>
      <c r="H65" s="738"/>
      <c r="I65" s="738"/>
      <c r="J65" s="738"/>
      <c r="K65" s="739"/>
      <c r="L65" s="734" t="s">
        <v>80</v>
      </c>
      <c r="M65" s="735"/>
      <c r="N65" s="735"/>
      <c r="O65" s="735"/>
      <c r="P65" s="736"/>
      <c r="Q65" s="721" t="s">
        <v>64</v>
      </c>
      <c r="R65" s="721"/>
      <c r="S65" s="721"/>
      <c r="T65" s="721"/>
      <c r="U65" s="721"/>
      <c r="V65" s="586" t="s">
        <v>80</v>
      </c>
      <c r="W65" s="135" t="s">
        <v>188</v>
      </c>
      <c r="X65" s="696" t="s">
        <v>189</v>
      </c>
      <c r="Y65" s="697"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10"/>
      <c r="AH65" s="263" t="s">
        <v>190</v>
      </c>
      <c r="AI65" s="264" t="s">
        <v>191</v>
      </c>
      <c r="AJ65" s="265">
        <f t="shared" si="1"/>
        <v>1</v>
      </c>
      <c r="AK65" s="711"/>
    </row>
    <row r="66" spans="1:37" ht="49.95" customHeight="1">
      <c r="A66" s="252">
        <f t="shared" si="2"/>
        <v>27</v>
      </c>
      <c r="B66" s="737" t="s">
        <v>192</v>
      </c>
      <c r="C66" s="738"/>
      <c r="D66" s="738"/>
      <c r="E66" s="738"/>
      <c r="F66" s="738"/>
      <c r="G66" s="738"/>
      <c r="H66" s="738"/>
      <c r="I66" s="738"/>
      <c r="J66" s="738"/>
      <c r="K66" s="739"/>
      <c r="L66" s="734" t="s">
        <v>80</v>
      </c>
      <c r="M66" s="735"/>
      <c r="N66" s="735"/>
      <c r="O66" s="735"/>
      <c r="P66" s="736"/>
      <c r="Q66" s="721" t="s">
        <v>64</v>
      </c>
      <c r="R66" s="721"/>
      <c r="S66" s="721"/>
      <c r="T66" s="721"/>
      <c r="U66" s="721"/>
      <c r="V66" s="586" t="s">
        <v>80</v>
      </c>
      <c r="W66" s="135" t="s">
        <v>188</v>
      </c>
      <c r="X66" s="696" t="s">
        <v>193</v>
      </c>
      <c r="Y66" s="697"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10" t="s">
        <v>194</v>
      </c>
      <c r="AH66" s="263" t="s">
        <v>195</v>
      </c>
      <c r="AI66" s="264" t="s">
        <v>196</v>
      </c>
      <c r="AJ66" s="265">
        <f t="shared" si="1"/>
        <v>1</v>
      </c>
      <c r="AK66" s="711" t="str">
        <f>IF(AJ66=AJ67, "一致", "不一致")</f>
        <v>一致</v>
      </c>
    </row>
    <row r="67" spans="1:37" ht="49.95" customHeight="1">
      <c r="A67" s="252">
        <f t="shared" si="2"/>
        <v>28</v>
      </c>
      <c r="B67" s="737" t="s">
        <v>197</v>
      </c>
      <c r="C67" s="738"/>
      <c r="D67" s="738"/>
      <c r="E67" s="738"/>
      <c r="F67" s="738"/>
      <c r="G67" s="738"/>
      <c r="H67" s="738"/>
      <c r="I67" s="738"/>
      <c r="J67" s="738"/>
      <c r="K67" s="739"/>
      <c r="L67" s="734" t="s">
        <v>80</v>
      </c>
      <c r="M67" s="735"/>
      <c r="N67" s="735"/>
      <c r="O67" s="735"/>
      <c r="P67" s="736"/>
      <c r="Q67" s="721" t="s">
        <v>64</v>
      </c>
      <c r="R67" s="721"/>
      <c r="S67" s="721"/>
      <c r="T67" s="721"/>
      <c r="U67" s="721"/>
      <c r="V67" s="586" t="s">
        <v>80</v>
      </c>
      <c r="W67" s="135" t="s">
        <v>188</v>
      </c>
      <c r="X67" s="696" t="s">
        <v>198</v>
      </c>
      <c r="Y67" s="697"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10"/>
      <c r="AH67" s="263" t="s">
        <v>199</v>
      </c>
      <c r="AI67" s="264" t="s">
        <v>200</v>
      </c>
      <c r="AJ67" s="265">
        <f t="shared" si="1"/>
        <v>1</v>
      </c>
      <c r="AK67" s="711"/>
    </row>
    <row r="68" spans="1:37" ht="49.95" customHeight="1">
      <c r="A68" s="252">
        <f t="shared" si="2"/>
        <v>29</v>
      </c>
      <c r="B68" s="737" t="s">
        <v>201</v>
      </c>
      <c r="C68" s="738"/>
      <c r="D68" s="738"/>
      <c r="E68" s="738"/>
      <c r="F68" s="738"/>
      <c r="G68" s="738"/>
      <c r="H68" s="738"/>
      <c r="I68" s="738"/>
      <c r="J68" s="738"/>
      <c r="K68" s="739"/>
      <c r="L68" s="734" t="s">
        <v>80</v>
      </c>
      <c r="M68" s="735"/>
      <c r="N68" s="735"/>
      <c r="O68" s="735"/>
      <c r="P68" s="736"/>
      <c r="Q68" s="721" t="s">
        <v>64</v>
      </c>
      <c r="R68" s="721"/>
      <c r="S68" s="721"/>
      <c r="T68" s="721"/>
      <c r="U68" s="721"/>
      <c r="V68" s="586" t="s">
        <v>80</v>
      </c>
      <c r="W68" s="135" t="s">
        <v>188</v>
      </c>
      <c r="X68" s="696" t="s">
        <v>202</v>
      </c>
      <c r="Y68" s="697"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10" t="s">
        <v>203</v>
      </c>
      <c r="AH68" s="263" t="s">
        <v>204</v>
      </c>
      <c r="AI68" s="264" t="s">
        <v>205</v>
      </c>
      <c r="AJ68" s="265">
        <f t="shared" si="1"/>
        <v>1</v>
      </c>
      <c r="AK68" s="711" t="str">
        <f>IF(AJ68=AJ69, "一致", "不一致")</f>
        <v>一致</v>
      </c>
    </row>
    <row r="69" spans="1:37" ht="49.95" customHeight="1">
      <c r="A69" s="252">
        <f t="shared" si="2"/>
        <v>30</v>
      </c>
      <c r="B69" s="737" t="s">
        <v>206</v>
      </c>
      <c r="C69" s="738"/>
      <c r="D69" s="738"/>
      <c r="E69" s="738"/>
      <c r="F69" s="738"/>
      <c r="G69" s="738"/>
      <c r="H69" s="738"/>
      <c r="I69" s="738"/>
      <c r="J69" s="738"/>
      <c r="K69" s="739"/>
      <c r="L69" s="734" t="s">
        <v>64</v>
      </c>
      <c r="M69" s="735"/>
      <c r="N69" s="735"/>
      <c r="O69" s="735"/>
      <c r="P69" s="736"/>
      <c r="Q69" s="721" t="s">
        <v>64</v>
      </c>
      <c r="R69" s="721"/>
      <c r="S69" s="721"/>
      <c r="T69" s="721"/>
      <c r="U69" s="721"/>
      <c r="V69" s="586" t="s">
        <v>80</v>
      </c>
      <c r="W69" s="135" t="s">
        <v>207</v>
      </c>
      <c r="X69" s="696" t="s">
        <v>208</v>
      </c>
      <c r="Y69" s="697"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10"/>
      <c r="AH69" s="263" t="s">
        <v>209</v>
      </c>
      <c r="AI69" s="264" t="s">
        <v>210</v>
      </c>
      <c r="AJ69" s="265">
        <f t="shared" si="1"/>
        <v>1</v>
      </c>
      <c r="AK69" s="711"/>
    </row>
    <row r="70" spans="1:37" ht="49.95" customHeight="1">
      <c r="A70" s="252">
        <f t="shared" si="2"/>
        <v>31</v>
      </c>
      <c r="B70" s="737" t="s">
        <v>211</v>
      </c>
      <c r="C70" s="738"/>
      <c r="D70" s="738"/>
      <c r="E70" s="738"/>
      <c r="F70" s="738"/>
      <c r="G70" s="738"/>
      <c r="H70" s="738"/>
      <c r="I70" s="738"/>
      <c r="J70" s="738"/>
      <c r="K70" s="739"/>
      <c r="L70" s="734" t="s">
        <v>80</v>
      </c>
      <c r="M70" s="735"/>
      <c r="N70" s="735"/>
      <c r="O70" s="735"/>
      <c r="P70" s="736"/>
      <c r="Q70" s="721" t="s">
        <v>64</v>
      </c>
      <c r="R70" s="721"/>
      <c r="S70" s="721"/>
      <c r="T70" s="721"/>
      <c r="U70" s="721"/>
      <c r="V70" s="586" t="s">
        <v>80</v>
      </c>
      <c r="W70" s="135" t="s">
        <v>207</v>
      </c>
      <c r="X70" s="696" t="s">
        <v>212</v>
      </c>
      <c r="Y70" s="697"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10" t="s">
        <v>213</v>
      </c>
      <c r="AH70" s="263" t="s">
        <v>214</v>
      </c>
      <c r="AI70" s="264" t="s">
        <v>215</v>
      </c>
      <c r="AJ70" s="265">
        <f t="shared" si="1"/>
        <v>1</v>
      </c>
      <c r="AK70" s="711" t="str">
        <f>IF(AJ70=AJ71, "一致", "不一致")</f>
        <v>一致</v>
      </c>
    </row>
    <row r="71" spans="1:37" ht="49.95" customHeight="1">
      <c r="A71" s="252">
        <f t="shared" si="2"/>
        <v>32</v>
      </c>
      <c r="B71" s="737" t="s">
        <v>216</v>
      </c>
      <c r="C71" s="738"/>
      <c r="D71" s="738"/>
      <c r="E71" s="738"/>
      <c r="F71" s="738"/>
      <c r="G71" s="738"/>
      <c r="H71" s="738"/>
      <c r="I71" s="738"/>
      <c r="J71" s="738"/>
      <c r="K71" s="739"/>
      <c r="L71" s="734" t="s">
        <v>64</v>
      </c>
      <c r="M71" s="735"/>
      <c r="N71" s="735"/>
      <c r="O71" s="735"/>
      <c r="P71" s="736"/>
      <c r="Q71" s="721" t="s">
        <v>64</v>
      </c>
      <c r="R71" s="721"/>
      <c r="S71" s="721"/>
      <c r="T71" s="721"/>
      <c r="U71" s="721"/>
      <c r="V71" s="586" t="s">
        <v>80</v>
      </c>
      <c r="W71" s="135" t="s">
        <v>207</v>
      </c>
      <c r="X71" s="696" t="s">
        <v>175</v>
      </c>
      <c r="Y71" s="697"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10"/>
      <c r="AH71" s="263" t="s">
        <v>217</v>
      </c>
      <c r="AI71" s="264" t="s">
        <v>218</v>
      </c>
      <c r="AJ71" s="265">
        <f t="shared" si="1"/>
        <v>1</v>
      </c>
      <c r="AK71" s="711"/>
    </row>
    <row r="72" spans="1:37" ht="49.95" customHeight="1">
      <c r="A72" s="252">
        <f t="shared" si="2"/>
        <v>33</v>
      </c>
      <c r="B72" s="737" t="s">
        <v>219</v>
      </c>
      <c r="C72" s="738"/>
      <c r="D72" s="738"/>
      <c r="E72" s="738"/>
      <c r="F72" s="738"/>
      <c r="G72" s="738"/>
      <c r="H72" s="738"/>
      <c r="I72" s="738"/>
      <c r="J72" s="738"/>
      <c r="K72" s="739"/>
      <c r="L72" s="734" t="s">
        <v>64</v>
      </c>
      <c r="M72" s="735"/>
      <c r="N72" s="735"/>
      <c r="O72" s="735"/>
      <c r="P72" s="736"/>
      <c r="Q72" s="721" t="s">
        <v>64</v>
      </c>
      <c r="R72" s="721"/>
      <c r="S72" s="721"/>
      <c r="T72" s="721"/>
      <c r="U72" s="721"/>
      <c r="V72" s="586" t="s">
        <v>80</v>
      </c>
      <c r="W72" s="135" t="s">
        <v>207</v>
      </c>
      <c r="X72" s="696" t="s">
        <v>220</v>
      </c>
      <c r="Y72" s="697"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10" t="s">
        <v>221</v>
      </c>
      <c r="AH72" s="263" t="s">
        <v>222</v>
      </c>
      <c r="AI72" s="264" t="s">
        <v>223</v>
      </c>
      <c r="AJ72" s="265">
        <f t="shared" si="1"/>
        <v>1</v>
      </c>
      <c r="AK72" s="711" t="str">
        <f>IF(AJ72=AJ73, "一致", "不一致")</f>
        <v>一致</v>
      </c>
    </row>
    <row r="73" spans="1:37" ht="49.95" customHeight="1" thickBot="1">
      <c r="A73" s="252">
        <f t="shared" si="2"/>
        <v>34</v>
      </c>
      <c r="B73" s="737" t="s">
        <v>224</v>
      </c>
      <c r="C73" s="738"/>
      <c r="D73" s="738"/>
      <c r="E73" s="738"/>
      <c r="F73" s="738"/>
      <c r="G73" s="738"/>
      <c r="H73" s="738"/>
      <c r="I73" s="738"/>
      <c r="J73" s="738"/>
      <c r="K73" s="739"/>
      <c r="L73" s="734" t="s">
        <v>64</v>
      </c>
      <c r="M73" s="735"/>
      <c r="N73" s="735"/>
      <c r="O73" s="735"/>
      <c r="P73" s="736"/>
      <c r="Q73" s="721" t="s">
        <v>64</v>
      </c>
      <c r="R73" s="721"/>
      <c r="S73" s="721"/>
      <c r="T73" s="721"/>
      <c r="U73" s="721"/>
      <c r="V73" s="586" t="s">
        <v>80</v>
      </c>
      <c r="W73" s="135" t="s">
        <v>207</v>
      </c>
      <c r="X73" s="696" t="s">
        <v>225</v>
      </c>
      <c r="Y73" s="697"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712"/>
      <c r="AH73" s="266" t="s">
        <v>226</v>
      </c>
      <c r="AI73" s="267" t="s">
        <v>227</v>
      </c>
      <c r="AJ73" s="268">
        <f t="shared" si="1"/>
        <v>1</v>
      </c>
      <c r="AK73" s="713"/>
    </row>
    <row r="74" spans="1:37" ht="49.95" customHeight="1">
      <c r="A74" s="252">
        <f t="shared" si="2"/>
        <v>35</v>
      </c>
      <c r="B74" s="737" t="s">
        <v>228</v>
      </c>
      <c r="C74" s="738"/>
      <c r="D74" s="738"/>
      <c r="E74" s="738"/>
      <c r="F74" s="738"/>
      <c r="G74" s="738"/>
      <c r="H74" s="738"/>
      <c r="I74" s="738"/>
      <c r="J74" s="738"/>
      <c r="K74" s="739"/>
      <c r="L74" s="734" t="s">
        <v>64</v>
      </c>
      <c r="M74" s="735"/>
      <c r="N74" s="735"/>
      <c r="O74" s="735"/>
      <c r="P74" s="736"/>
      <c r="Q74" s="721" t="s">
        <v>64</v>
      </c>
      <c r="R74" s="721"/>
      <c r="S74" s="721"/>
      <c r="T74" s="721"/>
      <c r="U74" s="721"/>
      <c r="V74" s="586" t="s">
        <v>80</v>
      </c>
      <c r="W74" s="135" t="s">
        <v>207</v>
      </c>
      <c r="X74" s="696" t="s">
        <v>229</v>
      </c>
      <c r="Y74" s="697"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5" customHeight="1">
      <c r="A75" s="252">
        <f t="shared" si="2"/>
        <v>36</v>
      </c>
      <c r="B75" s="737" t="s">
        <v>230</v>
      </c>
      <c r="C75" s="738"/>
      <c r="D75" s="738"/>
      <c r="E75" s="738"/>
      <c r="F75" s="738"/>
      <c r="G75" s="738"/>
      <c r="H75" s="738"/>
      <c r="I75" s="738"/>
      <c r="J75" s="738"/>
      <c r="K75" s="739"/>
      <c r="L75" s="734" t="s">
        <v>64</v>
      </c>
      <c r="M75" s="735"/>
      <c r="N75" s="735"/>
      <c r="O75" s="735"/>
      <c r="P75" s="736"/>
      <c r="Q75" s="721" t="s">
        <v>64</v>
      </c>
      <c r="R75" s="721"/>
      <c r="S75" s="721"/>
      <c r="T75" s="721"/>
      <c r="U75" s="721"/>
      <c r="V75" s="586" t="s">
        <v>80</v>
      </c>
      <c r="W75" s="135" t="s">
        <v>207</v>
      </c>
      <c r="X75" s="696" t="s">
        <v>231</v>
      </c>
      <c r="Y75" s="697"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5" customHeight="1">
      <c r="A76" s="252">
        <f t="shared" si="2"/>
        <v>37</v>
      </c>
      <c r="B76" s="737" t="s">
        <v>232</v>
      </c>
      <c r="C76" s="738"/>
      <c r="D76" s="738"/>
      <c r="E76" s="738"/>
      <c r="F76" s="738"/>
      <c r="G76" s="738"/>
      <c r="H76" s="738"/>
      <c r="I76" s="738"/>
      <c r="J76" s="738"/>
      <c r="K76" s="739"/>
      <c r="L76" s="734" t="s">
        <v>64</v>
      </c>
      <c r="M76" s="735"/>
      <c r="N76" s="735"/>
      <c r="O76" s="735"/>
      <c r="P76" s="736"/>
      <c r="Q76" s="721" t="s">
        <v>64</v>
      </c>
      <c r="R76" s="721"/>
      <c r="S76" s="721"/>
      <c r="T76" s="721"/>
      <c r="U76" s="721"/>
      <c r="V76" s="586" t="s">
        <v>80</v>
      </c>
      <c r="W76" s="135" t="s">
        <v>207</v>
      </c>
      <c r="X76" s="696" t="s">
        <v>195</v>
      </c>
      <c r="Y76" s="697"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5" customHeight="1">
      <c r="A77" s="252">
        <f t="shared" si="2"/>
        <v>38</v>
      </c>
      <c r="B77" s="737" t="s">
        <v>233</v>
      </c>
      <c r="C77" s="738"/>
      <c r="D77" s="738"/>
      <c r="E77" s="738"/>
      <c r="F77" s="738"/>
      <c r="G77" s="738"/>
      <c r="H77" s="738"/>
      <c r="I77" s="738"/>
      <c r="J77" s="738"/>
      <c r="K77" s="739"/>
      <c r="L77" s="734" t="s">
        <v>64</v>
      </c>
      <c r="M77" s="735"/>
      <c r="N77" s="735"/>
      <c r="O77" s="735"/>
      <c r="P77" s="736"/>
      <c r="Q77" s="721" t="s">
        <v>64</v>
      </c>
      <c r="R77" s="721"/>
      <c r="S77" s="721"/>
      <c r="T77" s="721"/>
      <c r="U77" s="721"/>
      <c r="V77" s="586" t="s">
        <v>80</v>
      </c>
      <c r="W77" s="135" t="s">
        <v>207</v>
      </c>
      <c r="X77" s="696" t="s">
        <v>234</v>
      </c>
      <c r="Y77" s="697"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5" customHeight="1">
      <c r="A78" s="252">
        <f t="shared" si="2"/>
        <v>39</v>
      </c>
      <c r="B78" s="737" t="s">
        <v>235</v>
      </c>
      <c r="C78" s="738"/>
      <c r="D78" s="738"/>
      <c r="E78" s="738"/>
      <c r="F78" s="738"/>
      <c r="G78" s="738"/>
      <c r="H78" s="738"/>
      <c r="I78" s="738"/>
      <c r="J78" s="738"/>
      <c r="K78" s="739"/>
      <c r="L78" s="734" t="s">
        <v>64</v>
      </c>
      <c r="M78" s="735"/>
      <c r="N78" s="735"/>
      <c r="O78" s="735"/>
      <c r="P78" s="736"/>
      <c r="Q78" s="721" t="s">
        <v>64</v>
      </c>
      <c r="R78" s="721"/>
      <c r="S78" s="721"/>
      <c r="T78" s="721"/>
      <c r="U78" s="721"/>
      <c r="V78" s="586" t="s">
        <v>80</v>
      </c>
      <c r="W78" s="135" t="s">
        <v>207</v>
      </c>
      <c r="X78" s="696" t="s">
        <v>236</v>
      </c>
      <c r="Y78" s="697"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5" customHeight="1">
      <c r="A79" s="252">
        <f t="shared" ref="A79:A105" si="3">A78+1</f>
        <v>40</v>
      </c>
      <c r="B79" s="737" t="s">
        <v>237</v>
      </c>
      <c r="C79" s="738"/>
      <c r="D79" s="738"/>
      <c r="E79" s="738"/>
      <c r="F79" s="738"/>
      <c r="G79" s="738"/>
      <c r="H79" s="738"/>
      <c r="I79" s="738"/>
      <c r="J79" s="738"/>
      <c r="K79" s="739"/>
      <c r="L79" s="734" t="s">
        <v>64</v>
      </c>
      <c r="M79" s="735"/>
      <c r="N79" s="735"/>
      <c r="O79" s="735"/>
      <c r="P79" s="736"/>
      <c r="Q79" s="744" t="s">
        <v>64</v>
      </c>
      <c r="R79" s="744"/>
      <c r="S79" s="744"/>
      <c r="T79" s="744"/>
      <c r="U79" s="744"/>
      <c r="V79" s="135" t="s">
        <v>80</v>
      </c>
      <c r="W79" s="135" t="s">
        <v>207</v>
      </c>
      <c r="X79" s="696" t="s">
        <v>238</v>
      </c>
      <c r="Y79" s="697"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5" customHeight="1">
      <c r="A80" s="252">
        <f t="shared" si="3"/>
        <v>41</v>
      </c>
      <c r="B80" s="737" t="s">
        <v>239</v>
      </c>
      <c r="C80" s="738"/>
      <c r="D80" s="738"/>
      <c r="E80" s="738"/>
      <c r="F80" s="738"/>
      <c r="G80" s="738"/>
      <c r="H80" s="738"/>
      <c r="I80" s="738"/>
      <c r="J80" s="738"/>
      <c r="K80" s="739"/>
      <c r="L80" s="734" t="s">
        <v>64</v>
      </c>
      <c r="M80" s="735"/>
      <c r="N80" s="735"/>
      <c r="O80" s="735"/>
      <c r="P80" s="736"/>
      <c r="Q80" s="744" t="s">
        <v>64</v>
      </c>
      <c r="R80" s="744"/>
      <c r="S80" s="744"/>
      <c r="T80" s="744"/>
      <c r="U80" s="744"/>
      <c r="V80" s="135" t="s">
        <v>80</v>
      </c>
      <c r="W80" s="135" t="s">
        <v>207</v>
      </c>
      <c r="X80" s="696" t="s">
        <v>240</v>
      </c>
      <c r="Y80" s="697"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5" customHeight="1">
      <c r="A81" s="252">
        <f t="shared" si="3"/>
        <v>42</v>
      </c>
      <c r="B81" s="737" t="s">
        <v>241</v>
      </c>
      <c r="C81" s="738"/>
      <c r="D81" s="738"/>
      <c r="E81" s="738"/>
      <c r="F81" s="738"/>
      <c r="G81" s="738"/>
      <c r="H81" s="738"/>
      <c r="I81" s="738"/>
      <c r="J81" s="738"/>
      <c r="K81" s="739"/>
      <c r="L81" s="734" t="s">
        <v>80</v>
      </c>
      <c r="M81" s="735"/>
      <c r="N81" s="735"/>
      <c r="O81" s="735"/>
      <c r="P81" s="736"/>
      <c r="Q81" s="744" t="s">
        <v>64</v>
      </c>
      <c r="R81" s="744"/>
      <c r="S81" s="744"/>
      <c r="T81" s="744"/>
      <c r="U81" s="744"/>
      <c r="V81" s="135" t="s">
        <v>80</v>
      </c>
      <c r="W81" s="135" t="s">
        <v>67</v>
      </c>
      <c r="X81" s="696" t="s">
        <v>242</v>
      </c>
      <c r="Y81" s="697"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5" customHeight="1">
      <c r="A82" s="252">
        <f t="shared" si="3"/>
        <v>43</v>
      </c>
      <c r="B82" s="737" t="s">
        <v>243</v>
      </c>
      <c r="C82" s="738"/>
      <c r="D82" s="738"/>
      <c r="E82" s="738"/>
      <c r="F82" s="738"/>
      <c r="G82" s="738"/>
      <c r="H82" s="738"/>
      <c r="I82" s="738"/>
      <c r="J82" s="738"/>
      <c r="K82" s="739"/>
      <c r="L82" s="734" t="s">
        <v>80</v>
      </c>
      <c r="M82" s="735"/>
      <c r="N82" s="735"/>
      <c r="O82" s="735"/>
      <c r="P82" s="736"/>
      <c r="Q82" s="744" t="s">
        <v>64</v>
      </c>
      <c r="R82" s="744"/>
      <c r="S82" s="744"/>
      <c r="T82" s="744"/>
      <c r="U82" s="744"/>
      <c r="V82" s="135" t="s">
        <v>80</v>
      </c>
      <c r="W82" s="135" t="s">
        <v>67</v>
      </c>
      <c r="X82" s="696" t="s">
        <v>244</v>
      </c>
      <c r="Y82" s="697"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5" customHeight="1">
      <c r="A83" s="252">
        <f t="shared" si="3"/>
        <v>44</v>
      </c>
      <c r="B83" s="737" t="s">
        <v>245</v>
      </c>
      <c r="C83" s="738"/>
      <c r="D83" s="738"/>
      <c r="E83" s="738"/>
      <c r="F83" s="738"/>
      <c r="G83" s="738"/>
      <c r="H83" s="738"/>
      <c r="I83" s="738"/>
      <c r="J83" s="738"/>
      <c r="K83" s="739"/>
      <c r="L83" s="734" t="s">
        <v>80</v>
      </c>
      <c r="M83" s="735"/>
      <c r="N83" s="735"/>
      <c r="O83" s="735"/>
      <c r="P83" s="736"/>
      <c r="Q83" s="744" t="s">
        <v>64</v>
      </c>
      <c r="R83" s="744"/>
      <c r="S83" s="744"/>
      <c r="T83" s="744"/>
      <c r="U83" s="744"/>
      <c r="V83" s="135" t="s">
        <v>80</v>
      </c>
      <c r="W83" s="135" t="s">
        <v>67</v>
      </c>
      <c r="X83" s="696" t="s">
        <v>246</v>
      </c>
      <c r="Y83" s="697"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5" customHeight="1">
      <c r="A84" s="252">
        <f t="shared" si="3"/>
        <v>45</v>
      </c>
      <c r="B84" s="740" t="s">
        <v>247</v>
      </c>
      <c r="C84" s="741"/>
      <c r="D84" s="741"/>
      <c r="E84" s="741"/>
      <c r="F84" s="741"/>
      <c r="G84" s="741"/>
      <c r="H84" s="741"/>
      <c r="I84" s="741"/>
      <c r="J84" s="741"/>
      <c r="K84" s="741"/>
      <c r="L84" s="734" t="s">
        <v>80</v>
      </c>
      <c r="M84" s="735"/>
      <c r="N84" s="735"/>
      <c r="O84" s="735"/>
      <c r="P84" s="736"/>
      <c r="Q84" s="744" t="s">
        <v>64</v>
      </c>
      <c r="R84" s="744"/>
      <c r="S84" s="744"/>
      <c r="T84" s="744"/>
      <c r="U84" s="744"/>
      <c r="V84" s="135" t="s">
        <v>80</v>
      </c>
      <c r="W84" s="135" t="s">
        <v>108</v>
      </c>
      <c r="X84" s="696" t="s">
        <v>248</v>
      </c>
      <c r="Y84" s="697"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5" customHeight="1">
      <c r="A85" s="252">
        <f t="shared" si="3"/>
        <v>46</v>
      </c>
      <c r="B85" s="740" t="s">
        <v>249</v>
      </c>
      <c r="C85" s="741"/>
      <c r="D85" s="741"/>
      <c r="E85" s="741"/>
      <c r="F85" s="741"/>
      <c r="G85" s="741"/>
      <c r="H85" s="741"/>
      <c r="I85" s="741"/>
      <c r="J85" s="741"/>
      <c r="K85" s="741"/>
      <c r="L85" s="734" t="s">
        <v>80</v>
      </c>
      <c r="M85" s="735"/>
      <c r="N85" s="735"/>
      <c r="O85" s="735"/>
      <c r="P85" s="736"/>
      <c r="Q85" s="744" t="s">
        <v>64</v>
      </c>
      <c r="R85" s="744"/>
      <c r="S85" s="744"/>
      <c r="T85" s="744"/>
      <c r="U85" s="744"/>
      <c r="V85" s="135" t="s">
        <v>80</v>
      </c>
      <c r="W85" s="135" t="s">
        <v>108</v>
      </c>
      <c r="X85" s="696" t="s">
        <v>250</v>
      </c>
      <c r="Y85" s="697"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5" customHeight="1">
      <c r="A86" s="252">
        <f t="shared" si="3"/>
        <v>47</v>
      </c>
      <c r="B86" s="740" t="s">
        <v>251</v>
      </c>
      <c r="C86" s="741"/>
      <c r="D86" s="741"/>
      <c r="E86" s="741"/>
      <c r="F86" s="741"/>
      <c r="G86" s="741"/>
      <c r="H86" s="741"/>
      <c r="I86" s="741"/>
      <c r="J86" s="741"/>
      <c r="K86" s="741"/>
      <c r="L86" s="734" t="s">
        <v>80</v>
      </c>
      <c r="M86" s="735"/>
      <c r="N86" s="735"/>
      <c r="O86" s="735"/>
      <c r="P86" s="736"/>
      <c r="Q86" s="744" t="s">
        <v>64</v>
      </c>
      <c r="R86" s="744"/>
      <c r="S86" s="744"/>
      <c r="T86" s="744"/>
      <c r="U86" s="744"/>
      <c r="V86" s="135" t="s">
        <v>80</v>
      </c>
      <c r="W86" s="135" t="s">
        <v>108</v>
      </c>
      <c r="X86" s="696" t="s">
        <v>252</v>
      </c>
      <c r="Y86" s="697"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5"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4">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8" width="4.109375" hidden="1" customWidth="1"/>
    <col min="59" max="59" width="9.88671875" customWidth="1"/>
    <col min="60" max="60" width="9.44140625" customWidth="1"/>
    <col min="61" max="63" width="4.10937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254</v>
      </c>
      <c r="AD1" s="935"/>
      <c r="AE1" s="935"/>
      <c r="AF1" s="934" t="str">
        <f>IF(基本情報入力シート!V16="", "", 基本情報入力シート!V16)</f>
        <v>東京都</v>
      </c>
      <c r="AG1" s="935"/>
      <c r="AH1" s="935"/>
      <c r="AI1" s="935"/>
      <c r="AJ1" s="935"/>
      <c r="AK1" s="960"/>
      <c r="AL1" s="61"/>
      <c r="AM1" s="61"/>
      <c r="AN1" s="61"/>
      <c r="AO1" s="61"/>
      <c r="AP1" s="61"/>
      <c r="AQ1" s="61"/>
      <c r="AR1" s="61"/>
      <c r="AS1" s="61"/>
      <c r="AT1" s="61"/>
      <c r="AU1" s="61"/>
      <c r="AV1" s="61"/>
      <c r="AW1" s="61"/>
      <c r="AX1" s="61"/>
      <c r="AY1" s="61"/>
      <c r="BA1" s="838" t="s">
        <v>255</v>
      </c>
      <c r="BB1" s="838"/>
      <c r="BC1" s="838"/>
      <c r="BD1" s="838"/>
      <c r="BE1" s="838"/>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加算様式を指定権者に提出</v>
      </c>
      <c r="BB2" s="838"/>
      <c r="BC2" s="838"/>
      <c r="BD2" s="838"/>
      <c r="BE2" s="838"/>
    </row>
    <row r="3" spans="1:57" ht="18.600000000000001" customHeight="1">
      <c r="A3" s="61"/>
      <c r="B3" s="961" t="s">
        <v>256</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16</v>
      </c>
      <c r="C6" s="963"/>
      <c r="D6" s="963"/>
      <c r="E6" s="963"/>
      <c r="F6" s="963"/>
      <c r="G6" s="964"/>
      <c r="H6" s="956" t="str">
        <f>IF(基本情報入力シート!L21="","",基本情報入力シート!L21)</f>
        <v>○○ケアサービス</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258</v>
      </c>
      <c r="C7" s="966"/>
      <c r="D7" s="966"/>
      <c r="E7" s="966"/>
      <c r="F7" s="966"/>
      <c r="G7" s="967"/>
      <c r="H7" s="968" t="str">
        <f>IF(基本情報入力シート!L22="","",基本情報入力シート!L22)</f>
        <v>○○ケアサービス</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259</v>
      </c>
      <c r="C8" s="944"/>
      <c r="D8" s="944"/>
      <c r="E8" s="944"/>
      <c r="F8" s="944"/>
      <c r="G8" s="945"/>
      <c r="H8" s="402" t="s">
        <v>20</v>
      </c>
      <c r="I8" s="959" t="str">
        <f>IF(基本情報入力シート!AM24="－","",基本情報入力シート!AM24)</f>
        <v>100-0005</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東京都千代田区１－１－１</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○○ビル○○号室</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16</v>
      </c>
      <c r="C11" s="954"/>
      <c r="D11" s="954"/>
      <c r="E11" s="954"/>
      <c r="F11" s="954"/>
      <c r="G11" s="955"/>
      <c r="H11" s="956" t="str">
        <f>IF(基本情報入力シート!L29="","",基本情報入力シート!L29)</f>
        <v>コウロウ タロウ</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260</v>
      </c>
      <c r="C12" s="947"/>
      <c r="D12" s="947"/>
      <c r="E12" s="947"/>
      <c r="F12" s="947"/>
      <c r="G12" s="948"/>
      <c r="H12" s="971" t="str">
        <f>IF(基本情報入力シート!L30="","",基本情報入力シート!L30)</f>
        <v>厚労 太郎</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261</v>
      </c>
      <c r="C13" s="936"/>
      <c r="D13" s="936"/>
      <c r="E13" s="936"/>
      <c r="F13" s="936"/>
      <c r="G13" s="936"/>
      <c r="H13" s="937" t="s">
        <v>39</v>
      </c>
      <c r="I13" s="936"/>
      <c r="J13" s="936"/>
      <c r="K13" s="936"/>
      <c r="L13" s="938" t="str">
        <f>IF(基本情報入力シート!L31="","",基本情報入力シート!L31)</f>
        <v>000-0000-0000</v>
      </c>
      <c r="M13" s="939"/>
      <c r="N13" s="939"/>
      <c r="O13" s="939"/>
      <c r="P13" s="939"/>
      <c r="Q13" s="939"/>
      <c r="R13" s="939"/>
      <c r="S13" s="939"/>
      <c r="T13" s="939"/>
      <c r="U13" s="940"/>
      <c r="V13" s="941" t="s">
        <v>41</v>
      </c>
      <c r="W13" s="942"/>
      <c r="X13" s="942"/>
      <c r="Y13" s="937"/>
      <c r="Z13" s="938" t="str">
        <f>IF(基本情報入力シート!L32="","",基本情報入力シート!L32)</f>
        <v>aaa@aaa,com</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263</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870" t="s">
        <v>265</v>
      </c>
      <c r="D17" s="870"/>
      <c r="E17" s="870"/>
      <c r="F17" s="870"/>
      <c r="G17" s="870"/>
      <c r="H17" s="870"/>
      <c r="I17" s="870"/>
      <c r="J17" s="870"/>
      <c r="K17" s="870"/>
      <c r="L17" s="870"/>
      <c r="M17" s="870"/>
      <c r="N17" s="870"/>
      <c r="O17" s="870"/>
      <c r="P17" s="899"/>
      <c r="Q17" s="900">
        <f>'別紙様式2-2（処遇改善加算　個表）'!L5</f>
        <v>551469600</v>
      </c>
      <c r="R17" s="901"/>
      <c r="S17" s="901"/>
      <c r="T17" s="901"/>
      <c r="U17" s="901"/>
      <c r="V17" s="902"/>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898" t="s">
        <v>268</v>
      </c>
      <c r="D18" s="898"/>
      <c r="E18" s="898"/>
      <c r="F18" s="898"/>
      <c r="G18" s="898"/>
      <c r="H18" s="898"/>
      <c r="I18" s="898"/>
      <c r="J18" s="898"/>
      <c r="K18" s="898"/>
      <c r="L18" s="898"/>
      <c r="M18" s="898"/>
      <c r="N18" s="898"/>
      <c r="O18" s="898"/>
      <c r="P18" s="898"/>
      <c r="Q18" s="909">
        <v>10000000</v>
      </c>
      <c r="R18" s="910"/>
      <c r="S18" s="910"/>
      <c r="T18" s="910"/>
      <c r="U18" s="910"/>
      <c r="V18" s="911"/>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898" t="s">
        <v>271</v>
      </c>
      <c r="D19" s="870"/>
      <c r="E19" s="870"/>
      <c r="F19" s="870"/>
      <c r="G19" s="870"/>
      <c r="H19" s="870"/>
      <c r="I19" s="870"/>
      <c r="J19" s="870"/>
      <c r="K19" s="870"/>
      <c r="L19" s="870"/>
      <c r="M19" s="870"/>
      <c r="N19" s="870"/>
      <c r="O19" s="870"/>
      <c r="P19" s="899"/>
      <c r="Q19" s="900">
        <f>Q17+Q18</f>
        <v>561469600</v>
      </c>
      <c r="R19" s="901"/>
      <c r="S19" s="901"/>
      <c r="T19" s="901"/>
      <c r="U19" s="901"/>
      <c r="V19" s="902"/>
      <c r="W19" s="411" t="s">
        <v>266</v>
      </c>
      <c r="X19" s="66" t="s">
        <v>269</v>
      </c>
      <c r="Y19" s="903" t="str">
        <f>IF(H7="", "", IFERROR(IF(Q20&gt;=Q19,"○","×"),""))</f>
        <v>○</v>
      </c>
      <c r="Z19" s="61"/>
      <c r="AA19" s="61"/>
      <c r="AB19" s="61"/>
      <c r="AC19" s="61"/>
      <c r="AD19" s="61"/>
      <c r="AE19" s="61"/>
      <c r="AF19" s="61"/>
      <c r="AG19" s="61"/>
      <c r="AH19" s="61"/>
      <c r="AI19" s="61"/>
      <c r="AJ19" s="61"/>
      <c r="AK19" s="61"/>
      <c r="AL19" s="61"/>
      <c r="AM19" s="905" t="s">
        <v>272</v>
      </c>
      <c r="AN19" s="906"/>
      <c r="AO19" s="906"/>
      <c r="AP19" s="906"/>
      <c r="AQ19" s="906"/>
      <c r="AR19" s="906"/>
      <c r="AS19" s="906"/>
      <c r="AT19" s="906"/>
      <c r="AU19" s="906"/>
      <c r="AV19" s="906"/>
      <c r="AW19" s="906"/>
      <c r="AX19" s="906"/>
      <c r="AY19" s="907"/>
    </row>
    <row r="20" spans="1:51" ht="38.4" customHeight="1" thickBot="1">
      <c r="A20" s="61"/>
      <c r="B20" s="412" t="s">
        <v>273</v>
      </c>
      <c r="C20" s="908" t="s">
        <v>274</v>
      </c>
      <c r="D20" s="908"/>
      <c r="E20" s="908"/>
      <c r="F20" s="908"/>
      <c r="G20" s="908"/>
      <c r="H20" s="908"/>
      <c r="I20" s="908"/>
      <c r="J20" s="908"/>
      <c r="K20" s="908"/>
      <c r="L20" s="908"/>
      <c r="M20" s="908"/>
      <c r="N20" s="908"/>
      <c r="O20" s="908"/>
      <c r="P20" s="908"/>
      <c r="Q20" s="909">
        <v>652500000</v>
      </c>
      <c r="R20" s="910"/>
      <c r="S20" s="910"/>
      <c r="T20" s="910"/>
      <c r="U20" s="910"/>
      <c r="V20" s="911"/>
      <c r="W20" s="413" t="s">
        <v>266</v>
      </c>
      <c r="X20" s="66" t="s">
        <v>269</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276</v>
      </c>
      <c r="C23" s="978" t="s">
        <v>277</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2" customHeight="1">
      <c r="A24" s="61"/>
      <c r="B24" s="418" t="s">
        <v>276</v>
      </c>
      <c r="C24" s="978" t="s">
        <v>278</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279</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280</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281</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870" t="s">
        <v>282</v>
      </c>
      <c r="D29" s="870"/>
      <c r="E29" s="870"/>
      <c r="F29" s="870"/>
      <c r="G29" s="870"/>
      <c r="H29" s="870"/>
      <c r="I29" s="870"/>
      <c r="J29" s="870"/>
      <c r="K29" s="870"/>
      <c r="L29" s="870"/>
      <c r="M29" s="870"/>
      <c r="N29" s="870"/>
      <c r="O29" s="870"/>
      <c r="P29" s="870"/>
      <c r="Q29" s="870"/>
      <c r="R29" s="870"/>
      <c r="S29" s="870"/>
      <c r="T29" s="981">
        <f>'別紙様式2-2（処遇改善加算　個表）'!L6</f>
        <v>184137750</v>
      </c>
      <c r="U29" s="982"/>
      <c r="V29" s="982"/>
      <c r="W29" s="982"/>
      <c r="X29" s="982"/>
      <c r="Y29" s="983"/>
      <c r="Z29" s="411" t="s">
        <v>266</v>
      </c>
      <c r="AA29" s="118" t="s">
        <v>269</v>
      </c>
      <c r="AB29" s="903" t="str">
        <f>IF(H7="", "", IFERROR(IF(T30&gt;=T29,"○","×"),""))</f>
        <v>○</v>
      </c>
      <c r="AC29" s="426"/>
      <c r="AD29" s="427"/>
      <c r="AE29" s="427"/>
      <c r="AF29" s="427"/>
      <c r="AG29" s="427"/>
      <c r="AH29" s="427"/>
      <c r="AI29" s="427"/>
      <c r="AJ29" s="427"/>
      <c r="AK29" s="427"/>
      <c r="AL29" s="61"/>
      <c r="AM29" s="874" t="s">
        <v>283</v>
      </c>
      <c r="AN29" s="875"/>
      <c r="AO29" s="875"/>
      <c r="AP29" s="875"/>
      <c r="AQ29" s="875"/>
      <c r="AR29" s="875"/>
      <c r="AS29" s="875"/>
      <c r="AT29" s="875"/>
      <c r="AU29" s="875"/>
      <c r="AV29" s="875"/>
      <c r="AW29" s="875"/>
      <c r="AX29" s="875"/>
      <c r="AY29" s="876"/>
    </row>
    <row r="30" spans="1:51" ht="28.5" customHeight="1" thickBot="1">
      <c r="A30" s="61"/>
      <c r="B30" s="425" t="s">
        <v>267</v>
      </c>
      <c r="C30" s="898" t="s">
        <v>284</v>
      </c>
      <c r="D30" s="898"/>
      <c r="E30" s="898"/>
      <c r="F30" s="898"/>
      <c r="G30" s="898"/>
      <c r="H30" s="898"/>
      <c r="I30" s="898"/>
      <c r="J30" s="898"/>
      <c r="K30" s="898"/>
      <c r="L30" s="898"/>
      <c r="M30" s="898"/>
      <c r="N30" s="898"/>
      <c r="O30" s="898"/>
      <c r="P30" s="898"/>
      <c r="Q30" s="898"/>
      <c r="R30" s="898"/>
      <c r="S30" s="898"/>
      <c r="T30" s="915">
        <v>220000000</v>
      </c>
      <c r="U30" s="916"/>
      <c r="V30" s="916"/>
      <c r="W30" s="916"/>
      <c r="X30" s="916"/>
      <c r="Y30" s="917"/>
      <c r="Z30" s="408" t="s">
        <v>266</v>
      </c>
      <c r="AA30" s="118" t="s">
        <v>269</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276</v>
      </c>
      <c r="C33" s="926" t="s">
        <v>285</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286</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2" customHeight="1" thickBot="1">
      <c r="A36" s="61"/>
      <c r="B36" s="869" t="s">
        <v>287</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1048" t="s">
        <v>288</v>
      </c>
      <c r="D37" s="1048"/>
      <c r="E37" s="1048"/>
      <c r="F37" s="1048"/>
      <c r="G37" s="1048"/>
      <c r="H37" s="1048"/>
      <c r="I37" s="1048"/>
      <c r="J37" s="1048"/>
      <c r="K37" s="1048"/>
      <c r="L37" s="1048"/>
      <c r="M37" s="1048"/>
      <c r="N37" s="1048"/>
      <c r="O37" s="1048"/>
      <c r="P37" s="1048"/>
      <c r="Q37" s="1048"/>
      <c r="R37" s="1048"/>
      <c r="S37" s="1049"/>
      <c r="T37" s="928">
        <f>'別紙様式2-2（処遇改善加算　個表）'!L7</f>
        <v>13460400</v>
      </c>
      <c r="U37" s="929"/>
      <c r="V37" s="929"/>
      <c r="W37" s="929"/>
      <c r="X37" s="929"/>
      <c r="Y37" s="433" t="s">
        <v>266</v>
      </c>
      <c r="Z37" s="434" t="s">
        <v>269</v>
      </c>
      <c r="AA37" s="435"/>
      <c r="AB37" s="61"/>
      <c r="AC37" s="61"/>
      <c r="AD37" s="61"/>
      <c r="AE37" s="61"/>
      <c r="AF37" s="61"/>
      <c r="AG37" s="61" t="s">
        <v>269</v>
      </c>
      <c r="AH37" s="436" t="str">
        <f>IF(T38&lt;T37,"×","")</f>
        <v/>
      </c>
      <c r="AI37" s="61"/>
      <c r="AJ37" s="61"/>
      <c r="AK37" s="61"/>
      <c r="AL37" s="61"/>
      <c r="AM37" s="930" t="s">
        <v>289</v>
      </c>
      <c r="AN37" s="931"/>
      <c r="AO37" s="931"/>
      <c r="AP37" s="931"/>
      <c r="AQ37" s="931"/>
      <c r="AR37" s="931"/>
      <c r="AS37" s="931"/>
      <c r="AT37" s="931"/>
      <c r="AU37" s="931"/>
      <c r="AV37" s="931"/>
      <c r="AW37" s="931"/>
      <c r="AX37" s="931"/>
      <c r="AY37" s="932"/>
    </row>
    <row r="38" spans="1:56" ht="19.95" customHeight="1" thickBot="1">
      <c r="A38" s="61"/>
      <c r="B38" s="630" t="s">
        <v>267</v>
      </c>
      <c r="C38" s="890" t="s">
        <v>290</v>
      </c>
      <c r="D38" s="890"/>
      <c r="E38" s="890"/>
      <c r="F38" s="890"/>
      <c r="G38" s="890"/>
      <c r="H38" s="890"/>
      <c r="I38" s="890"/>
      <c r="J38" s="890"/>
      <c r="K38" s="890"/>
      <c r="L38" s="890"/>
      <c r="M38" s="890"/>
      <c r="N38" s="890"/>
      <c r="O38" s="890"/>
      <c r="P38" s="890"/>
      <c r="Q38" s="890"/>
      <c r="R38" s="890"/>
      <c r="S38" s="1050"/>
      <c r="T38" s="909">
        <v>13460400</v>
      </c>
      <c r="U38" s="910"/>
      <c r="V38" s="910"/>
      <c r="W38" s="910"/>
      <c r="X38" s="911"/>
      <c r="Y38" s="437" t="s">
        <v>266</v>
      </c>
      <c r="Z38" s="36"/>
      <c r="AA38" s="438" t="s">
        <v>291</v>
      </c>
      <c r="AB38" s="1052">
        <f>IFERROR(T39/T37*100,0)</f>
        <v>74.291997266054494</v>
      </c>
      <c r="AC38" s="1053"/>
      <c r="AD38" s="1054"/>
      <c r="AE38" s="439" t="s">
        <v>292</v>
      </c>
      <c r="AF38" s="439" t="s">
        <v>293</v>
      </c>
      <c r="AG38" s="61" t="s">
        <v>269</v>
      </c>
      <c r="AH38" s="409" t="str">
        <f>IF(OR(T37=0, T37=""),"",(IF(AND(AB38&gt;=200/3, T38&gt;=T39),"○","×")))</f>
        <v>○</v>
      </c>
      <c r="AI38" s="419"/>
      <c r="AJ38" s="419"/>
      <c r="AK38" s="419"/>
      <c r="AL38" s="61"/>
      <c r="AM38" s="871" t="s">
        <v>294</v>
      </c>
      <c r="AN38" s="872"/>
      <c r="AO38" s="872"/>
      <c r="AP38" s="872"/>
      <c r="AQ38" s="872"/>
      <c r="AR38" s="872"/>
      <c r="AS38" s="872"/>
      <c r="AT38" s="872"/>
      <c r="AU38" s="872"/>
      <c r="AV38" s="872"/>
      <c r="AW38" s="872"/>
      <c r="AX38" s="872"/>
      <c r="AY38" s="873"/>
    </row>
    <row r="39" spans="1:56" ht="19.95" customHeight="1" thickBot="1">
      <c r="A39" s="61"/>
      <c r="B39" s="440"/>
      <c r="C39" s="918" t="s">
        <v>295</v>
      </c>
      <c r="D39" s="919"/>
      <c r="E39" s="919"/>
      <c r="F39" s="919"/>
      <c r="G39" s="919"/>
      <c r="H39" s="919"/>
      <c r="I39" s="919"/>
      <c r="J39" s="919"/>
      <c r="K39" s="919"/>
      <c r="L39" s="919"/>
      <c r="M39" s="919"/>
      <c r="N39" s="919"/>
      <c r="O39" s="919"/>
      <c r="P39" s="919"/>
      <c r="Q39" s="919"/>
      <c r="R39" s="919"/>
      <c r="S39" s="919"/>
      <c r="T39" s="922">
        <v>10000000</v>
      </c>
      <c r="U39" s="923"/>
      <c r="V39" s="923"/>
      <c r="W39" s="923"/>
      <c r="X39" s="924"/>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0"/>
      <c r="D40" s="921"/>
      <c r="E40" s="921"/>
      <c r="F40" s="921"/>
      <c r="G40" s="921"/>
      <c r="H40" s="921"/>
      <c r="I40" s="921"/>
      <c r="J40" s="921"/>
      <c r="K40" s="921"/>
      <c r="L40" s="921"/>
      <c r="M40" s="921"/>
      <c r="N40" s="921"/>
      <c r="O40" s="921"/>
      <c r="P40" s="921"/>
      <c r="Q40" s="921"/>
      <c r="R40" s="921"/>
      <c r="S40" s="921"/>
      <c r="T40" s="447" t="s">
        <v>291</v>
      </c>
      <c r="U40" s="925">
        <f>T39/12</f>
        <v>833333.33333333337</v>
      </c>
      <c r="V40" s="925"/>
      <c r="W40" s="925"/>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0"/>
      <c r="AO42" s="1040"/>
      <c r="AP42" s="1040"/>
      <c r="AQ42" s="1040"/>
      <c r="AR42" s="1040"/>
      <c r="AS42" s="1040"/>
      <c r="AT42" s="1040"/>
      <c r="AU42" s="1040"/>
      <c r="AV42" s="1040"/>
      <c r="AW42" s="1040"/>
      <c r="AX42" s="1040"/>
      <c r="AY42" s="1041"/>
      <c r="BA42" s="1037" t="s">
        <v>297</v>
      </c>
      <c r="BB42" s="1037"/>
      <c r="BC42" s="1037"/>
      <c r="BD42" s="1037"/>
    </row>
    <row r="43" spans="1:56" s="29" customFormat="1" ht="18" customHeight="1" thickBot="1">
      <c r="A43" s="62"/>
      <c r="B43" s="869" t="s">
        <v>298</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299</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0"/>
      <c r="AO45" s="1040"/>
      <c r="AP45" s="1040"/>
      <c r="AQ45" s="1040"/>
      <c r="AR45" s="1040"/>
      <c r="AS45" s="1040"/>
      <c r="AT45" s="1040"/>
      <c r="AU45" s="1040"/>
      <c r="AV45" s="1040"/>
      <c r="AW45" s="1040"/>
      <c r="AX45" s="1040"/>
      <c r="AY45" s="1041"/>
      <c r="BA45" s="1037" t="s">
        <v>300</v>
      </c>
      <c r="BB45" s="1037"/>
      <c r="BC45" s="1037"/>
      <c r="BD45" s="1037"/>
    </row>
    <row r="46" spans="1:56" s="29" customFormat="1" ht="18" customHeight="1" thickBot="1">
      <c r="A46" s="62"/>
      <c r="B46" s="990" t="s">
        <v>301</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46</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302</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303</v>
      </c>
      <c r="BB48" s="984"/>
      <c r="BC48" s="984"/>
      <c r="BD48" s="984"/>
    </row>
    <row r="49" spans="1:56" ht="18" customHeight="1" thickBot="1">
      <c r="A49" s="61"/>
      <c r="B49" s="995" t="s">
        <v>304</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45</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307</v>
      </c>
      <c r="AN52" s="872"/>
      <c r="AO52" s="872"/>
      <c r="AP52" s="872"/>
      <c r="AQ52" s="872"/>
      <c r="AR52" s="872"/>
      <c r="AS52" s="872"/>
      <c r="AT52" s="872"/>
      <c r="AU52" s="872"/>
      <c r="AV52" s="872"/>
      <c r="AW52" s="872"/>
      <c r="AX52" s="872"/>
      <c r="AY52" s="873"/>
      <c r="BA52" s="450"/>
      <c r="BB52" s="450"/>
      <c r="BC52" s="450"/>
    </row>
    <row r="53" spans="1:56" s="29" customFormat="1" ht="19.95"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68" t="s">
        <v>310</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311</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293</v>
      </c>
      <c r="AL56" s="62"/>
      <c r="AM56" s="842" t="s">
        <v>312</v>
      </c>
      <c r="AN56" s="843"/>
      <c r="AO56" s="843"/>
      <c r="AP56" s="843"/>
      <c r="AQ56" s="843"/>
      <c r="AR56" s="843"/>
      <c r="AS56" s="843"/>
      <c r="AT56" s="843"/>
      <c r="AU56" s="843"/>
      <c r="AV56" s="843"/>
      <c r="AW56" s="843"/>
      <c r="AX56" s="843"/>
      <c r="AY56" s="844"/>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313</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314</v>
      </c>
      <c r="BB58" s="984"/>
      <c r="BC58" s="984"/>
      <c r="BD58" s="984"/>
    </row>
    <row r="59" spans="1:56" ht="18" customHeight="1" thickBot="1">
      <c r="A59" s="61"/>
      <c r="B59" s="990" t="s">
        <v>315</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v>
      </c>
      <c r="AL59" s="61"/>
      <c r="AM59" s="61"/>
      <c r="AN59" s="61"/>
      <c r="AO59" s="61"/>
      <c r="AP59" s="61"/>
      <c r="AQ59" s="61"/>
      <c r="AR59" s="61"/>
      <c r="AS59" s="61"/>
      <c r="AT59" s="61"/>
      <c r="AU59" s="61"/>
      <c r="AV59" s="61"/>
      <c r="AW59" s="61"/>
      <c r="AX59" s="61"/>
      <c r="AY59" s="61"/>
      <c r="BA59" s="1045">
        <f>COUNTIF('別紙様式2-2（処遇改善加算　個表）'!P:P, "処遇改善加算Ⅰ")</f>
        <v>44</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3" t="s">
        <v>316</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317</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318</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該当</v>
      </c>
      <c r="AJ65" s="827"/>
      <c r="AK65" s="828"/>
      <c r="AL65" s="62"/>
      <c r="AM65" s="321"/>
      <c r="AN65" s="321"/>
      <c r="AO65" s="321"/>
      <c r="AP65" s="321"/>
      <c r="AQ65" s="321"/>
      <c r="AR65" s="321"/>
      <c r="AS65" s="321"/>
      <c r="AT65" s="321"/>
      <c r="AU65" s="321"/>
      <c r="AV65" s="321"/>
      <c r="AW65" s="321"/>
      <c r="AX65" s="321"/>
      <c r="AY65" s="321"/>
    </row>
    <row r="66" spans="1:53" ht="45.6" customHeight="1">
      <c r="A66" s="61"/>
      <c r="B66" s="479" t="s">
        <v>320</v>
      </c>
      <c r="C66" s="829" t="s">
        <v>321</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該当</v>
      </c>
      <c r="AJ68" s="831"/>
      <c r="AK68" s="832"/>
      <c r="AL68" s="62"/>
      <c r="AM68" s="62"/>
      <c r="AN68" s="62"/>
      <c r="AO68" s="61"/>
      <c r="AP68" s="62"/>
      <c r="AQ68" s="62"/>
      <c r="AR68" s="62"/>
      <c r="AS68" s="62"/>
      <c r="AT68" s="62"/>
      <c r="AU68" s="62"/>
      <c r="AV68" s="62"/>
      <c r="AW68" s="62"/>
      <c r="AX68" s="62"/>
      <c r="AY68" s="62"/>
    </row>
    <row r="69" spans="1:53" ht="43.95" customHeight="1">
      <c r="A69" s="61"/>
      <c r="B69" s="479" t="s">
        <v>320</v>
      </c>
      <c r="C69" s="829" t="s">
        <v>323</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1" t="s">
        <v>324</v>
      </c>
      <c r="C71" s="862"/>
      <c r="D71" s="863"/>
      <c r="E71" s="820" t="s">
        <v>325</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326</v>
      </c>
    </row>
    <row r="72" spans="1:53" ht="15" customHeight="1">
      <c r="A72" s="61"/>
      <c r="B72" s="722" t="s">
        <v>327</v>
      </c>
      <c r="C72" s="723"/>
      <c r="D72" s="723"/>
      <c r="E72" s="816"/>
      <c r="F72" s="817"/>
      <c r="G72" s="833" t="s">
        <v>328</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！この区分（４項目）から２つ以上の取組が選択されていません。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329</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330</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331</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332</v>
      </c>
      <c r="C76" s="723"/>
      <c r="D76" s="723"/>
      <c r="E76" s="816"/>
      <c r="F76" s="817"/>
      <c r="G76" s="833" t="s">
        <v>333</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！この区分（４項目）から２つ以上の取組が選択されていません。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334</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335</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336</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337</v>
      </c>
      <c r="C80" s="723"/>
      <c r="D80" s="723"/>
      <c r="E80" s="816"/>
      <c r="F80" s="817"/>
      <c r="G80" s="894" t="s">
        <v>338</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！この区分（４項目）から２つ以上の取組が選択されていません。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2" customHeight="1" thickBot="1">
      <c r="A81" s="61"/>
      <c r="B81" s="864"/>
      <c r="C81" s="865"/>
      <c r="D81" s="865"/>
      <c r="E81" s="818"/>
      <c r="F81" s="819"/>
      <c r="G81" s="836" t="s">
        <v>339</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2" customHeight="1">
      <c r="A82" s="61"/>
      <c r="B82" s="864"/>
      <c r="C82" s="865"/>
      <c r="D82" s="865"/>
      <c r="E82" s="818"/>
      <c r="F82" s="819"/>
      <c r="G82" s="836" t="s">
        <v>340</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341</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342</v>
      </c>
      <c r="C84" s="723"/>
      <c r="D84" s="723"/>
      <c r="E84" s="816"/>
      <c r="F84" s="817"/>
      <c r="G84" s="833" t="s">
        <v>343</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！この区分（４項目）から２つ以上の取組が選択されていません。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344</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2" customHeight="1">
      <c r="A86" s="61"/>
      <c r="B86" s="864"/>
      <c r="C86" s="865"/>
      <c r="D86" s="865"/>
      <c r="E86" s="818"/>
      <c r="F86" s="819"/>
      <c r="G86" s="836" t="s">
        <v>345</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346</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2" customHeight="1" thickBot="1">
      <c r="A88" s="61"/>
      <c r="B88" s="722" t="s">
        <v>347</v>
      </c>
      <c r="C88" s="723"/>
      <c r="D88" s="723"/>
      <c r="E88" s="816"/>
      <c r="F88" s="817"/>
      <c r="G88" s="1036" t="s">
        <v>348</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！⑰又は⑱の取組は必須です。</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349</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350</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！この区分（８項目）から３つ以上の取組が選択されていません。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351</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352</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2" customHeight="1">
      <c r="A93" s="61"/>
      <c r="B93" s="864"/>
      <c r="C93" s="865"/>
      <c r="D93" s="865"/>
      <c r="E93" s="818"/>
      <c r="F93" s="819"/>
      <c r="G93" s="836" t="s">
        <v>353</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2" customHeight="1">
      <c r="A94" s="61"/>
      <c r="B94" s="864"/>
      <c r="C94" s="865"/>
      <c r="D94" s="865"/>
      <c r="E94" s="818"/>
      <c r="F94" s="819"/>
      <c r="G94" s="836" t="s">
        <v>354</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2" customHeight="1" thickBot="1">
      <c r="A95" s="61"/>
      <c r="B95" s="866"/>
      <c r="C95" s="867"/>
      <c r="D95" s="867"/>
      <c r="E95" s="818"/>
      <c r="F95" s="819"/>
      <c r="G95" s="892" t="s">
        <v>355</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356</v>
      </c>
      <c r="C96" s="723"/>
      <c r="D96" s="723"/>
      <c r="E96" s="816"/>
      <c r="F96" s="817"/>
      <c r="G96" s="833" t="s">
        <v>357</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！この区分（４項目）から２つ以上の取組が選択されていません。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358</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359</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360</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2" t="s">
        <v>361</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896" t="s">
        <v>362</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363</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364</v>
      </c>
      <c r="C103" s="885"/>
      <c r="D103" s="885"/>
      <c r="E103" s="886" t="b">
        <v>0</v>
      </c>
      <c r="F103" s="583"/>
      <c r="G103" s="890" t="s">
        <v>365</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5" customHeight="1" thickBot="1">
      <c r="A104" s="485"/>
      <c r="B104" s="887"/>
      <c r="C104" s="888"/>
      <c r="D104" s="888"/>
      <c r="E104" s="889" t="b">
        <v>0</v>
      </c>
      <c r="F104" s="582"/>
      <c r="G104" s="880" t="s">
        <v>366</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369</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370</v>
      </c>
      <c r="AF108" s="1031"/>
      <c r="AG108" s="1031"/>
      <c r="AH108" s="1031"/>
      <c r="AI108" s="1031"/>
      <c r="AJ108" s="1032"/>
      <c r="AK108" s="409" t="str">
        <f>IF(H7="", "", IF(AND(BA109=TRUE,OR(Q18=0,BA110=TRUE),BA111=TRUE,BA112=TRUE, BA114=TRUE, BA113=TRUE,BA115=TRUE),"○","×"))</f>
        <v>○</v>
      </c>
      <c r="AL108" s="61"/>
      <c r="AM108" s="839" t="s">
        <v>371</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372</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373</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4" t="s">
        <v>374</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373</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19" t="s">
        <v>375</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376</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19" t="s">
        <v>377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378</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19" t="s">
        <v>379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380</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09" t="s">
        <v>381</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382</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19" t="s">
        <v>383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378</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1023" t="s">
        <v>386</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387</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858">
        <v>7</v>
      </c>
      <c r="F124" s="859"/>
      <c r="G124" s="46" t="s">
        <v>389</v>
      </c>
      <c r="H124" s="858">
        <v>4</v>
      </c>
      <c r="I124" s="859"/>
      <c r="J124" s="46" t="s">
        <v>390</v>
      </c>
      <c r="K124" s="858">
        <v>1</v>
      </c>
      <c r="L124" s="859"/>
      <c r="M124" s="46" t="s">
        <v>391</v>
      </c>
      <c r="N124" s="41"/>
      <c r="O124" s="860" t="s">
        <v>258</v>
      </c>
      <c r="P124" s="860"/>
      <c r="Q124" s="860"/>
      <c r="R124" s="1013" t="str">
        <f>IF(H7="","",H7)</f>
        <v>○○ケアサービス</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8" t="s">
        <v>392</v>
      </c>
      <c r="O125" s="1018"/>
      <c r="P125" s="1018"/>
      <c r="Q125" s="1018"/>
      <c r="R125" s="845" t="s">
        <v>29</v>
      </c>
      <c r="S125" s="845"/>
      <c r="T125" s="846" t="str">
        <f>IF(基本情報入力シート!L26="", "", 基本情報入力シート!L26)</f>
        <v>代表取締役</v>
      </c>
      <c r="U125" s="846"/>
      <c r="V125" s="846"/>
      <c r="W125" s="846"/>
      <c r="X125" s="846"/>
      <c r="Y125" s="1017" t="s">
        <v>31</v>
      </c>
      <c r="Z125" s="1017"/>
      <c r="AA125" s="846" t="str">
        <f>IF(基本情報入力シート!L27="", "", 基本情報入力シート!L27)</f>
        <v>厚労 花子</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47" t="s">
        <v>397</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398</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47" t="s">
        <v>399</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1006" t="s">
        <v>401</v>
      </c>
      <c r="D136" s="1007"/>
      <c r="E136" s="1007"/>
      <c r="F136" s="1007"/>
      <c r="G136" s="1007"/>
      <c r="H136" s="1007"/>
      <c r="I136" s="1008"/>
      <c r="J136" s="999" t="s">
        <v>402</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1006" t="s">
        <v>404</v>
      </c>
      <c r="D137" s="1007"/>
      <c r="E137" s="1007"/>
      <c r="F137" s="1007"/>
      <c r="G137" s="1007"/>
      <c r="H137" s="1007"/>
      <c r="I137" s="1008"/>
      <c r="J137" s="999" t="s">
        <v>405</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53" t="s">
        <v>408</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52" t="s">
        <v>410</v>
      </c>
      <c r="D139" s="852"/>
      <c r="E139" s="852"/>
      <c r="F139" s="852"/>
      <c r="G139" s="852"/>
      <c r="H139" s="852"/>
      <c r="I139" s="852"/>
      <c r="J139" s="853" t="s">
        <v>411</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52" t="s">
        <v>413</v>
      </c>
      <c r="D140" s="852"/>
      <c r="E140" s="852"/>
      <c r="F140" s="852"/>
      <c r="G140" s="852"/>
      <c r="H140" s="852"/>
      <c r="I140" s="852"/>
      <c r="J140" s="853" t="s">
        <v>414</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52" t="s">
        <v>416</v>
      </c>
      <c r="D141" s="852"/>
      <c r="E141" s="852"/>
      <c r="F141" s="852"/>
      <c r="G141" s="852"/>
      <c r="H141" s="852"/>
      <c r="I141" s="852"/>
      <c r="J141" s="999" t="s">
        <v>417</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1" t="s">
        <v>418</v>
      </c>
      <c r="C142" s="852" t="s">
        <v>419</v>
      </c>
      <c r="D142" s="852"/>
      <c r="E142" s="852"/>
      <c r="F142" s="852"/>
      <c r="G142" s="852"/>
      <c r="H142" s="852"/>
      <c r="I142" s="852"/>
      <c r="J142" s="853" t="s">
        <v>420</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421</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7" t="s">
        <v>422</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276</v>
      </c>
      <c r="C146" s="848" t="s">
        <v>423</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850" t="s">
        <v>424</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8" t="s">
        <v>255</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加算様式を指定権者に提出</v>
      </c>
      <c r="AP2" s="838"/>
      <c r="AQ2" s="838"/>
      <c r="AR2" s="838"/>
      <c r="AS2" s="838"/>
      <c r="BC2" s="329"/>
      <c r="BD2"/>
      <c r="BE2"/>
      <c r="BF2"/>
      <c r="BG2"/>
    </row>
    <row r="3" spans="1:60" ht="27" customHeight="1" thickBot="1">
      <c r="A3" s="1216" t="s">
        <v>258</v>
      </c>
      <c r="B3" s="1216"/>
      <c r="C3" s="1217"/>
      <c r="D3" s="1218" t="str">
        <f>IF(基本情報入力シート!L22="","",基本情報入力シート!L22)</f>
        <v>○○ケアサービス</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221" t="s">
        <v>427</v>
      </c>
      <c r="B5" s="1222"/>
      <c r="C5" s="1222"/>
      <c r="D5" s="1222"/>
      <c r="E5" s="1222"/>
      <c r="F5" s="1222"/>
      <c r="G5" s="1222"/>
      <c r="H5" s="1222"/>
      <c r="I5" s="1222"/>
      <c r="J5" s="1222"/>
      <c r="K5" s="1222"/>
      <c r="L5" s="1179">
        <f>IFERROR(SUM(AD:AD),"")</f>
        <v>551469600</v>
      </c>
      <c r="M5" s="1179"/>
      <c r="N5" s="348" t="s">
        <v>266</v>
      </c>
      <c r="O5" s="339"/>
      <c r="P5" s="319"/>
      <c r="Q5" s="320"/>
      <c r="R5" s="278"/>
      <c r="S5" s="321"/>
      <c r="T5" s="322"/>
      <c r="U5" s="322"/>
      <c r="V5" s="322"/>
      <c r="W5" s="322"/>
      <c r="X5" s="322"/>
      <c r="Y5" s="322"/>
      <c r="Z5" s="322"/>
      <c r="AA5" s="322"/>
      <c r="AB5" s="322"/>
      <c r="AC5" s="322"/>
      <c r="AD5" s="323"/>
      <c r="AE5" s="1165" t="s">
        <v>428</v>
      </c>
      <c r="AF5" s="1166"/>
      <c r="AG5" s="1166"/>
      <c r="AH5" s="1166"/>
      <c r="AI5" s="1166"/>
      <c r="AJ5" s="1167"/>
      <c r="AK5" s="349">
        <f>SUM(AK12:AK411)</f>
        <v>18</v>
      </c>
      <c r="AL5" s="279"/>
      <c r="AM5" s="346"/>
      <c r="AN5" s="350"/>
      <c r="AO5" s="350"/>
      <c r="AP5" s="350"/>
      <c r="BC5" s="329"/>
      <c r="BD5"/>
      <c r="BE5"/>
      <c r="BF5"/>
      <c r="BG5"/>
    </row>
    <row r="6" spans="1:60" ht="35.25" customHeight="1" thickBot="1">
      <c r="A6" s="351"/>
      <c r="B6" s="1223" t="s">
        <v>429</v>
      </c>
      <c r="C6" s="1222"/>
      <c r="D6" s="1222"/>
      <c r="E6" s="1222"/>
      <c r="F6" s="1222"/>
      <c r="G6" s="1222"/>
      <c r="H6" s="1222"/>
      <c r="I6" s="1222"/>
      <c r="J6" s="1222"/>
      <c r="K6" s="1222"/>
      <c r="L6" s="1179">
        <f>IFERROR(SUM(AE:AE),"")</f>
        <v>184137750</v>
      </c>
      <c r="M6" s="1179"/>
      <c r="N6" s="348" t="s">
        <v>266</v>
      </c>
      <c r="O6" s="318"/>
      <c r="P6" s="319"/>
      <c r="Q6" s="320"/>
      <c r="R6" s="278"/>
      <c r="S6" s="321"/>
      <c r="T6" s="322"/>
      <c r="U6" s="322"/>
      <c r="V6" s="322"/>
      <c r="W6" s="322"/>
      <c r="X6" s="322"/>
      <c r="Y6" s="322"/>
      <c r="Z6" s="322"/>
      <c r="AA6" s="322"/>
      <c r="AB6" s="322"/>
      <c r="AC6" s="322"/>
      <c r="AD6" s="323"/>
      <c r="AE6" s="1165" t="s">
        <v>430</v>
      </c>
      <c r="AF6" s="1166"/>
      <c r="AG6" s="1166"/>
      <c r="AH6" s="1166"/>
      <c r="AI6" s="1166"/>
      <c r="AJ6" s="1167"/>
      <c r="AK6" s="352">
        <f>SUM(AV:AV)</f>
        <v>18</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431</v>
      </c>
      <c r="C7" s="1222"/>
      <c r="D7" s="1222"/>
      <c r="E7" s="1222"/>
      <c r="F7" s="1222"/>
      <c r="G7" s="1222"/>
      <c r="H7" s="1222"/>
      <c r="I7" s="1222"/>
      <c r="J7" s="1222"/>
      <c r="K7" s="1222"/>
      <c r="L7" s="1179">
        <f>IFERROR(SUM(AG:AG),"")</f>
        <v>13460400</v>
      </c>
      <c r="M7" s="1179"/>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432</v>
      </c>
      <c r="AP7" s="1204"/>
      <c r="AT7" s="356"/>
      <c r="AU7" s="1164"/>
      <c r="AV7" s="1164"/>
      <c r="AW7" s="1164"/>
      <c r="AX7" s="1164"/>
      <c r="AY7" s="1164"/>
      <c r="AZ7" s="1164"/>
      <c r="BA7" s="1164"/>
      <c r="BB7" s="357"/>
      <c r="BC7" s="1164"/>
      <c r="BD7" s="1164"/>
      <c r="BE7" s="1164"/>
      <c r="BF7" s="1164"/>
      <c r="BG7" s="1164"/>
    </row>
    <row r="8" spans="1:60" ht="35.25" customHeight="1" thickBot="1">
      <c r="A8" s="1202" t="s">
        <v>433</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v>
      </c>
      <c r="AF9" s="1175"/>
      <c r="AG9" s="1176" t="str">
        <f>IF(D3="", "", IFERROR(IF(COUNTIF(AR:AR,"未入力")=0,"○","×"),""))</f>
        <v>○</v>
      </c>
      <c r="AH9" s="1177"/>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2"/>
      <c r="B10" s="1180" t="s">
        <v>437</v>
      </c>
      <c r="C10" s="1181"/>
      <c r="D10" s="1181"/>
      <c r="E10" s="1181"/>
      <c r="F10" s="1182"/>
      <c r="G10" s="1186" t="s">
        <v>51</v>
      </c>
      <c r="H10" s="1188" t="s">
        <v>52</v>
      </c>
      <c r="I10" s="1188"/>
      <c r="J10" s="1189" t="s">
        <v>438</v>
      </c>
      <c r="K10" s="1191" t="s">
        <v>54</v>
      </c>
      <c r="L10" s="1193" t="s">
        <v>439</v>
      </c>
      <c r="M10" s="1168" t="s">
        <v>440</v>
      </c>
      <c r="N10" s="1170" t="s">
        <v>441</v>
      </c>
      <c r="O10" s="1172" t="s">
        <v>442</v>
      </c>
      <c r="P10" s="1214" t="s">
        <v>443</v>
      </c>
      <c r="Q10" s="1210" t="s">
        <v>444</v>
      </c>
      <c r="R10" s="1197" t="s">
        <v>445</v>
      </c>
      <c r="S10" s="1205"/>
      <c r="T10" s="1205"/>
      <c r="U10" s="1205"/>
      <c r="V10" s="1205"/>
      <c r="W10" s="1205"/>
      <c r="X10" s="1205"/>
      <c r="Y10" s="1205"/>
      <c r="Z10" s="1205"/>
      <c r="AA10" s="1205"/>
      <c r="AB10" s="1205"/>
      <c r="AC10" s="1206"/>
      <c r="AD10" s="1197" t="s">
        <v>446</v>
      </c>
      <c r="AE10" s="1199" t="s">
        <v>447</v>
      </c>
      <c r="AF10" s="1200"/>
      <c r="AG10" s="1201" t="s">
        <v>448</v>
      </c>
      <c r="AH10" s="1200"/>
      <c r="AI10" s="372" t="s">
        <v>449</v>
      </c>
      <c r="AJ10" s="372" t="s">
        <v>450</v>
      </c>
      <c r="AK10" s="372" t="s">
        <v>451</v>
      </c>
      <c r="AL10" s="373" t="s">
        <v>452</v>
      </c>
      <c r="AM10" s="1195" t="s">
        <v>453</v>
      </c>
      <c r="AN10" s="374"/>
      <c r="AO10" s="1228" t="s">
        <v>454</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455</v>
      </c>
      <c r="I11" s="376" t="s">
        <v>456</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457</v>
      </c>
      <c r="AF11" s="378" t="s">
        <v>458</v>
      </c>
      <c r="AG11" s="378" t="s">
        <v>459</v>
      </c>
      <c r="AH11" s="379" t="s">
        <v>460</v>
      </c>
      <c r="AI11" s="379" t="s">
        <v>461</v>
      </c>
      <c r="AJ11" s="380" t="s">
        <v>462</v>
      </c>
      <c r="AK11" s="380" t="s">
        <v>463</v>
      </c>
      <c r="AL11" s="595" t="s">
        <v>464</v>
      </c>
      <c r="AM11" s="1196"/>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151">
        <v>1</v>
      </c>
      <c r="B12" s="1155" t="str">
        <f>IF(基本情報入力シート!B40="","",基本情報入力シート!B40)</f>
        <v>1111111111</v>
      </c>
      <c r="C12" s="1156"/>
      <c r="D12" s="1156"/>
      <c r="E12" s="1156"/>
      <c r="F12" s="1156"/>
      <c r="G12" s="1161" t="str">
        <f>IF(基本情報入力シート!L40="", "", 基本情報入力シート!L40)</f>
        <v>東京都</v>
      </c>
      <c r="H12" s="1161" t="str">
        <f>IF(基本情報入力シート!Q40="", "", 基本情報入力シート!Q40)</f>
        <v>東京都</v>
      </c>
      <c r="I12" s="1161" t="str">
        <f>IF(基本情報入力シート!V40="", "", 基本情報入力シート!V40)</f>
        <v>千代田区</v>
      </c>
      <c r="J12" s="1161" t="str">
        <f>IF(基本情報入力シート!W40="", "", 基本情報入力シート!W40)</f>
        <v>○○ホームヘルプ</v>
      </c>
      <c r="K12" s="1161" t="str">
        <f>IF(基本情報入力シート!X40="", "", 基本情報入力シート!X40)</f>
        <v>訪問介護</v>
      </c>
      <c r="L12" s="1110">
        <f>IF(基本情報入力シート!AC40=0, "",基本情報入力シート!AC40)</f>
        <v>750000</v>
      </c>
      <c r="M12" s="1225">
        <f>IF(AND(基本情報入力シート!B40="",基本情報入力シート!AD40=""), "", 基本情報入力シート!AD40)</f>
        <v>11.4</v>
      </c>
      <c r="N12" s="1071" t="s">
        <v>476</v>
      </c>
      <c r="O12" s="1056">
        <f>IFERROR(VLOOKUP(K12,【参考】数式用２!$A$2:$AD$48,MATCH(N12,【参考】数式用２!$C$4:$AD$4,0)+2,0),"")</f>
        <v>0.245</v>
      </c>
      <c r="P12" s="1139" t="s">
        <v>476</v>
      </c>
      <c r="Q12" s="1142">
        <f>IFERROR(VLOOKUP(K12,【参考】数式用２!$A$2:$AC$48,MATCH(P12,【参考】数式用２!$C$4:$AC$4,0)+2,0),"")</f>
        <v>0.245</v>
      </c>
      <c r="R12" s="1145" t="s">
        <v>388</v>
      </c>
      <c r="S12" s="1148">
        <v>7</v>
      </c>
      <c r="T12" s="1065" t="s">
        <v>477</v>
      </c>
      <c r="U12" s="1148">
        <v>4</v>
      </c>
      <c r="V12" s="1065" t="s">
        <v>478</v>
      </c>
      <c r="W12" s="1148">
        <v>8</v>
      </c>
      <c r="X12" s="1065" t="s">
        <v>477</v>
      </c>
      <c r="Y12" s="1148">
        <v>3</v>
      </c>
      <c r="Z12" s="1065" t="s">
        <v>479</v>
      </c>
      <c r="AA12" s="1065" t="s">
        <v>291</v>
      </c>
      <c r="AB12" s="1065">
        <f>IF(S12&gt;=1,(W12*12+Y12)-(S12*12+U12)+1,"")</f>
        <v>12</v>
      </c>
      <c r="AC12" s="1068" t="s">
        <v>480</v>
      </c>
      <c r="AD12" s="1059">
        <f>IFERROR(ROUNDDOWN(ROUND(L12*Q12,0)*M12,0)*AB12,"")</f>
        <v>25137000</v>
      </c>
      <c r="AE12" s="1062">
        <f>IFERROR(ROUNDDOWN(ROUNDDOWN(ROUND(L12*VLOOKUP(K12,【参考】数式用２!$A$2:$AC$48,MATCH("処遇改善加算Ⅳ",【参考】数式用２!$C$4:$O$4,0)+2,0),0)*M12,0)*AB12*0.5,0), "")</f>
        <v>7438500</v>
      </c>
      <c r="AF12" s="1125" t="s">
        <v>47</v>
      </c>
      <c r="AG12" s="1059" t="str">
        <f>IF(AND(AQ12&lt;&gt;"対象外", P12&lt;&gt;""),ROUNDDOWN(ROUND(L12*VLOOKUP(K12,【参考】数式用２!$A$2:$K$48,MATCH("ベア加算あり",【参考】数式用２!$C$4:$K$4,0)+2,0),0)*M12,0)*AB12,"")</f>
        <v/>
      </c>
      <c r="AH12" s="1128"/>
      <c r="AI12" s="1125" t="s">
        <v>481</v>
      </c>
      <c r="AJ12" s="1125" t="s">
        <v>481</v>
      </c>
      <c r="AK12" s="1131">
        <v>1</v>
      </c>
      <c r="AL12" s="1134" t="s">
        <v>482</v>
      </c>
      <c r="AM12" s="690" t="str">
        <f>IF(Q12="","",IF(Q12&lt;O12,"！加算の要件上は問題ありませんが、令和６年度末の加算率と比較して、令和７年度の加算率が低くなっています。",""))</f>
        <v/>
      </c>
      <c r="AN12" s="385"/>
      <c r="AO12" s="1120" t="str">
        <f>IF(K12&lt;&gt;"","Q列に色付け","")</f>
        <v>Q列に色付け</v>
      </c>
      <c r="AP12" s="1137" t="str">
        <f>IF(AND(AE12&lt;&gt;0,AE12&lt;&gt;""),IF(AF12="○","入力済","未入力"),"")</f>
        <v>入力済</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対象</v>
      </c>
      <c r="AV12" s="838">
        <f>IF(AND(P12&lt;&gt;"処遇改善加算Ⅲ",P12&lt;&gt;"処遇改善加算Ⅳ", P12&lt;&gt;"", AU12&lt;&gt;"対象外"), 1,"")</f>
        <v>1</v>
      </c>
      <c r="AW12" s="838" t="str">
        <f>IFERROR("_"&amp;VLOOKUP(K12, 【参考】数式用２!$AG$2:$AH$48, 2, FALSE), "")</f>
        <v>_11</v>
      </c>
      <c r="AX12" s="1138" t="str">
        <f>IF(AND(P12="処遇改善加算Ⅰ", AL12=""), "未入力","入力済")</f>
        <v>入力済</v>
      </c>
      <c r="AY12" s="1121" t="str">
        <f>G12</f>
        <v>東京都</v>
      </c>
      <c r="AZ12"/>
      <c r="BA12"/>
      <c r="BB12"/>
      <c r="BC12"/>
      <c r="BD12"/>
      <c r="BE12"/>
      <c r="BF12"/>
      <c r="BG12" s="387"/>
    </row>
    <row r="13" spans="1:60" ht="14.4"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2222222222</v>
      </c>
      <c r="C16" s="1105"/>
      <c r="D16" s="1105"/>
      <c r="E16" s="1105"/>
      <c r="F16" s="1105"/>
      <c r="G16" s="1105" t="str">
        <f>IF(基本情報入力シート!L41="", "",基本情報入力シート!L41)</f>
        <v>東京都</v>
      </c>
      <c r="H16" s="1105" t="str">
        <f>IF(基本情報入力シート!Q41="", "",基本情報入力シート!Q41)</f>
        <v>東京都</v>
      </c>
      <c r="I16" s="1105" t="str">
        <f>IF(基本情報入力シート!V41="", "",基本情報入力シート!V41)</f>
        <v>千代田区</v>
      </c>
      <c r="J16" s="1105" t="str">
        <f>IF(基本情報入力シート!W41="", "",基本情報入力シート!W41)</f>
        <v>××ホームヘルプ</v>
      </c>
      <c r="K16" s="1105" t="str">
        <f>IF(基本情報入力シート!X41="", "",基本情報入力シート!X41)</f>
        <v>訪問介護</v>
      </c>
      <c r="L16" s="1110">
        <f>IF(基本情報入力シート!AC41=0, "",基本情報入力シート!AC41)</f>
        <v>750000</v>
      </c>
      <c r="M16" s="1224">
        <f>IF(基本情報入力シート!AD41="", "",基本情報入力シート!AD41)</f>
        <v>11.4</v>
      </c>
      <c r="N16" s="1071" t="s">
        <v>483</v>
      </c>
      <c r="O16" s="1056">
        <f>IFERROR(VLOOKUP(K16,【参考】数式用２!$A$2:$AD$48,MATCH(N16,【参考】数式用２!$C$4:$AD$4,0)+2,0),"")</f>
        <v>0.224</v>
      </c>
      <c r="P16" s="1139" t="s">
        <v>483</v>
      </c>
      <c r="Q16" s="1142">
        <f>IFERROR(VLOOKUP(K16,【参考】数式用２!$A$2:$AC$48,MATCH(P16,【参考】数式用２!$C$4:$AC$4,0)+2,0),"")</f>
        <v>0.224</v>
      </c>
      <c r="R16" s="1145" t="s">
        <v>388</v>
      </c>
      <c r="S16" s="1148">
        <v>7</v>
      </c>
      <c r="T16" s="1065" t="s">
        <v>477</v>
      </c>
      <c r="U16" s="1148">
        <v>4</v>
      </c>
      <c r="V16" s="1065" t="s">
        <v>478</v>
      </c>
      <c r="W16" s="1148">
        <v>8</v>
      </c>
      <c r="X16" s="1065" t="s">
        <v>477</v>
      </c>
      <c r="Y16" s="1148">
        <v>3</v>
      </c>
      <c r="Z16" s="1065" t="s">
        <v>479</v>
      </c>
      <c r="AA16" s="1065" t="s">
        <v>291</v>
      </c>
      <c r="AB16" s="1065">
        <f>IF(S16&gt;=1,(W16*12+Y16)-(S16*12+U16)+1,"")</f>
        <v>12</v>
      </c>
      <c r="AC16" s="1068" t="s">
        <v>480</v>
      </c>
      <c r="AD16" s="1059">
        <f>IFERROR(ROUNDDOWN(ROUND(L16*Q16,0)*M16,0)*AB16,"")</f>
        <v>22982400</v>
      </c>
      <c r="AE16" s="1062">
        <f>IFERROR(ROUNDDOWN(ROUNDDOWN(ROUND(L16*VLOOKUP(K16,【参考】数式用２!$A$2:$AC$48,MATCH("処遇改善加算Ⅳ",【参考】数式用２!$C$4:$O$4,0)+2,0),0)*M16,0)*AB16*0.5,0), "")</f>
        <v>7438500</v>
      </c>
      <c r="AF16" s="1125" t="s">
        <v>47</v>
      </c>
      <c r="AG16" s="1059" t="str">
        <f>IF(AND(AQ16&lt;&gt;"対象外", P16&lt;&gt;""),ROUNDDOWN(ROUND(L16*VLOOKUP(K16,【参考】数式用２!$A$2:$K$48,MATCH("ベア加算あり",【参考】数式用２!$C$4:$K$4,0)+2,0),0)*M16,0)*AB16,"")</f>
        <v/>
      </c>
      <c r="AH16" s="1128"/>
      <c r="AI16" s="1125" t="s">
        <v>481</v>
      </c>
      <c r="AJ16" s="1125" t="s">
        <v>481</v>
      </c>
      <c r="AK16" s="1131">
        <v>1</v>
      </c>
      <c r="AL16" s="1134"/>
      <c r="AM16" s="690" t="str">
        <f t="shared" ref="AM16" si="0">IF(Q16="","",IF(Q16&lt;O16,"！加算の要件上は問題ありませんが、令和６年度末の加算率と比較して、令和７年度の加算率が低くなっています。",""))</f>
        <v/>
      </c>
      <c r="AN16" s="385"/>
      <c r="AO16" s="1120" t="str">
        <f>IF(K16&lt;&gt;"","Q列に色付け","")</f>
        <v>Q列に色付け</v>
      </c>
      <c r="AP16" s="1137" t="str">
        <f>IF(AND(AE16&lt;&gt;0,AE16&lt;&gt;""),IF(AF16="○","入力済","未入力"),"")</f>
        <v>入力済</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対象</v>
      </c>
      <c r="AV16" s="838">
        <f>IF(AND(P16&lt;&gt;"処遇改善加算Ⅲ",P16&lt;&gt;"処遇改善加算Ⅳ", P16&lt;&gt;"", AU16&lt;&gt;"対象外"), 1,"")</f>
        <v>1</v>
      </c>
      <c r="AW16" s="838" t="str">
        <f>IFERROR("_"&amp;VLOOKUP(K16, 【参考】数式用２!$AG$2:$AH$48, 2, FALSE), "")</f>
        <v>_11</v>
      </c>
      <c r="AX16" s="1138" t="str">
        <f>IF(AND(P16="処遇改善加算Ⅰ", AL16=""), "未入力","入力済")</f>
        <v>入力済</v>
      </c>
      <c r="AY16" s="1120" t="str">
        <f>G16</f>
        <v>東京都</v>
      </c>
      <c r="AZ16"/>
      <c r="BA16"/>
      <c r="BB16"/>
      <c r="BC16"/>
      <c r="BD16"/>
      <c r="BE16"/>
      <c r="BF16"/>
      <c r="BG16"/>
    </row>
    <row r="17" spans="1:59" ht="14.4">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4">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3333333333</v>
      </c>
      <c r="C20" s="1105"/>
      <c r="D20" s="1105"/>
      <c r="E20" s="1105"/>
      <c r="F20" s="1105"/>
      <c r="G20" s="1105" t="str">
        <f>IF(基本情報入力シート!L42="", "",基本情報入力シート!L42)</f>
        <v>東京都</v>
      </c>
      <c r="H20" s="1105" t="str">
        <f>IF(基本情報入力シート!Q42="", "",基本情報入力シート!Q42)</f>
        <v>東京都</v>
      </c>
      <c r="I20" s="1105" t="str">
        <f>IF(基本情報入力シート!V42="", "",基本情報入力シート!V42)</f>
        <v>千代田区</v>
      </c>
      <c r="J20" s="1105" t="str">
        <f>IF(基本情報入力シート!W42="", "",基本情報入力シート!W42)</f>
        <v>△△ホームヘルプ</v>
      </c>
      <c r="K20" s="1105" t="str">
        <f>IF(基本情報入力シート!X42="", "",基本情報入力シート!X42)</f>
        <v>訪問介護</v>
      </c>
      <c r="L20" s="1110">
        <f>IF(基本情報入力シート!AC42=0, "",基本情報入力シート!AC42)</f>
        <v>750000</v>
      </c>
      <c r="M20" s="1113">
        <f>IF(基本情報入力シート!AD42="", "",基本情報入力シート!AD42)</f>
        <v>11.4</v>
      </c>
      <c r="N20" s="1071" t="s">
        <v>484</v>
      </c>
      <c r="O20" s="1056">
        <f>IFERROR(VLOOKUP(K20,【参考】数式用２!$A$2:$AD$48,MATCH(N20,【参考】数式用２!$C$4:$AD$4,0)+2,0),"")</f>
        <v>0.182</v>
      </c>
      <c r="P20" s="1139" t="s">
        <v>484</v>
      </c>
      <c r="Q20" s="1142">
        <f>IFERROR(VLOOKUP(K20,【参考】数式用２!$A$2:$AC$48,MATCH(P20,【参考】数式用２!$C$4:$AC$4,0)+2,0),"")</f>
        <v>0.182</v>
      </c>
      <c r="R20" s="1145" t="s">
        <v>388</v>
      </c>
      <c r="S20" s="1148">
        <v>7</v>
      </c>
      <c r="T20" s="1065" t="s">
        <v>477</v>
      </c>
      <c r="U20" s="1148">
        <v>4</v>
      </c>
      <c r="V20" s="1065" t="s">
        <v>478</v>
      </c>
      <c r="W20" s="1148">
        <v>8</v>
      </c>
      <c r="X20" s="1065" t="s">
        <v>477</v>
      </c>
      <c r="Y20" s="1148">
        <v>3</v>
      </c>
      <c r="Z20" s="1065" t="s">
        <v>479</v>
      </c>
      <c r="AA20" s="1065" t="s">
        <v>291</v>
      </c>
      <c r="AB20" s="1065">
        <f>IF(S20&gt;=1,(W20*12+Y20)-(S20*12+U20)+1,"")</f>
        <v>12</v>
      </c>
      <c r="AC20" s="1068" t="s">
        <v>480</v>
      </c>
      <c r="AD20" s="1059">
        <f>IFERROR(ROUNDDOWN(ROUND(L20*Q20,0)*M20,0)*AB20,"")</f>
        <v>18673200</v>
      </c>
      <c r="AE20" s="1062">
        <f>IFERROR(ROUNDDOWN(ROUNDDOWN(ROUND(L20*VLOOKUP(K20,【参考】数式用２!$A$2:$AC$48,MATCH("処遇改善加算Ⅳ",【参考】数式用２!$C$4:$O$4,0)+2,0),0)*M20,0)*AB20*0.5,0), "")</f>
        <v>7438500</v>
      </c>
      <c r="AF20" s="1125" t="s">
        <v>47</v>
      </c>
      <c r="AG20" s="1059" t="str">
        <f>IF(AND(AQ20&lt;&gt;"対象外", P20&lt;&gt;""),ROUNDDOWN(ROUND(L20*VLOOKUP(K20,【参考】数式用２!$A$2:$K$48,MATCH("ベア加算あり",【参考】数式用２!$C$4:$K$4,0)+2,0),0)*M20,0)*AB20,"")</f>
        <v/>
      </c>
      <c r="AH20" s="1128"/>
      <c r="AI20" s="1125" t="s">
        <v>47</v>
      </c>
      <c r="AJ20" s="1125" t="s">
        <v>47</v>
      </c>
      <c r="AK20" s="1131"/>
      <c r="AL20" s="1134"/>
      <c r="AM20" s="690" t="str">
        <f t="shared" ref="AM20" si="3">IF(Q20="","",IF(Q20&lt;O20,"！加算の要件上は問題ありませんが、令和６年度末の加算率と比較して、令和７年度の加算率が低くなっています。",""))</f>
        <v/>
      </c>
      <c r="AN20" s="385"/>
      <c r="AO20" s="1120" t="str">
        <f>IF(K20&lt;&gt;"","Q列に色付け","")</f>
        <v>Q列に色付け</v>
      </c>
      <c r="AP20" s="1137" t="str">
        <f>IF(AND(AE20&lt;&gt;0,AE20&lt;&gt;""),IF(AF20="○","入力済","未入力"),"")</f>
        <v>入力済</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対象</v>
      </c>
      <c r="AV20" s="838" t="str">
        <f>IF(AND(P20&lt;&gt;"処遇改善加算Ⅲ",P20&lt;&gt;"処遇改善加算Ⅳ", P20&lt;&gt;"", AU20&lt;&gt;"対象外"), 1,"")</f>
        <v/>
      </c>
      <c r="AW20" s="838" t="str">
        <f>IFERROR("_"&amp;VLOOKUP(K20, 【参考】数式用２!$AG$2:$AH$48, 2, FALSE), "")</f>
        <v>_11</v>
      </c>
      <c r="AX20" s="1138" t="str">
        <f>IF(AND(P20="処遇改善加算Ⅰ", AL20=""), "未入力","入力済")</f>
        <v>入力済</v>
      </c>
      <c r="AY20" s="1120" t="str">
        <f>G20</f>
        <v>東京都</v>
      </c>
      <c r="AZ20"/>
      <c r="BA20"/>
      <c r="BB20"/>
      <c r="BC20"/>
      <c r="BD20"/>
      <c r="BE20"/>
      <c r="BF20"/>
      <c r="BG20"/>
    </row>
    <row r="21" spans="1:59" ht="14.4">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4">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4444444444</v>
      </c>
      <c r="C24" s="1105"/>
      <c r="D24" s="1105"/>
      <c r="E24" s="1105"/>
      <c r="F24" s="1105"/>
      <c r="G24" s="1105" t="str">
        <f>IF(基本情報入力シート!L43="", "",基本情報入力シート!L43)</f>
        <v>東京都</v>
      </c>
      <c r="H24" s="1105" t="str">
        <f>IF(基本情報入力シート!Q43="", "",基本情報入力シート!Q43)</f>
        <v>東京都</v>
      </c>
      <c r="I24" s="1105" t="str">
        <f>IF(基本情報入力シート!V43="", "",基本情報入力シート!V43)</f>
        <v>千代田区</v>
      </c>
      <c r="J24" s="1105" t="str">
        <f>IF(基本情報入力シート!W43="", "",基本情報入力シート!W43)</f>
        <v>■■ホームヘルプ</v>
      </c>
      <c r="K24" s="1105" t="str">
        <f>IF(基本情報入力シート!X43="", "",基本情報入力シート!X43)</f>
        <v>訪問介護</v>
      </c>
      <c r="L24" s="1110">
        <f>IF(基本情報入力シート!AC43=0, "",基本情報入力シート!AC43)</f>
        <v>750000</v>
      </c>
      <c r="M24" s="1113">
        <f>IF(基本情報入力シート!AD43="", "",基本情報入力シート!AD43)</f>
        <v>11.4</v>
      </c>
      <c r="N24" s="1071" t="s">
        <v>485</v>
      </c>
      <c r="O24" s="1056">
        <f>IFERROR(VLOOKUP(K24,【参考】数式用２!$A$2:$AD$48,MATCH(N24,【参考】数式用２!$C$4:$AD$4,0)+2,0),"")</f>
        <v>0.14499999999999999</v>
      </c>
      <c r="P24" s="1139" t="s">
        <v>485</v>
      </c>
      <c r="Q24" s="1142">
        <f>IFERROR(VLOOKUP(K24,【参考】数式用２!$A$2:$AC$48,MATCH(P24,【参考】数式用２!$C$4:$AC$4,0)+2,0),"")</f>
        <v>0.14499999999999999</v>
      </c>
      <c r="R24" s="1145" t="s">
        <v>388</v>
      </c>
      <c r="S24" s="1148">
        <v>7</v>
      </c>
      <c r="T24" s="1065" t="s">
        <v>477</v>
      </c>
      <c r="U24" s="1148">
        <v>4</v>
      </c>
      <c r="V24" s="1065" t="s">
        <v>478</v>
      </c>
      <c r="W24" s="1148">
        <v>8</v>
      </c>
      <c r="X24" s="1065" t="s">
        <v>477</v>
      </c>
      <c r="Y24" s="1148">
        <v>3</v>
      </c>
      <c r="Z24" s="1065" t="s">
        <v>479</v>
      </c>
      <c r="AA24" s="1065" t="s">
        <v>291</v>
      </c>
      <c r="AB24" s="1065">
        <f>IF(S24&gt;=1,(W24*12+Y24)-(S24*12+U24)+1,"")</f>
        <v>12</v>
      </c>
      <c r="AC24" s="1068" t="s">
        <v>480</v>
      </c>
      <c r="AD24" s="1059">
        <f>IFERROR(ROUNDDOWN(ROUND(L24*Q24,0)*M24,0)*AB24,"")</f>
        <v>14877000</v>
      </c>
      <c r="AE24" s="1062">
        <f>IFERROR(ROUNDDOWN(ROUNDDOWN(ROUND(L24*VLOOKUP(K24,【参考】数式用２!$A$2:$AC$48,MATCH("処遇改善加算Ⅳ",【参考】数式用２!$C$4:$O$4,0)+2,0),0)*M24,0)*AB24*0.5,0), "")</f>
        <v>7438500</v>
      </c>
      <c r="AF24" s="1125" t="s">
        <v>47</v>
      </c>
      <c r="AG24" s="1059" t="str">
        <f>IF(AND(AQ24&lt;&gt;"対象外", P24&lt;&gt;""),ROUNDDOWN(ROUND(L24*VLOOKUP(K24,【参考】数式用２!$A$2:$K$48,MATCH("ベア加算あり",【参考】数式用２!$C$4:$K$4,0)+2,0),0)*M24,0)*AB24,"")</f>
        <v/>
      </c>
      <c r="AH24" s="1128"/>
      <c r="AI24" s="1125" t="s">
        <v>47</v>
      </c>
      <c r="AJ24" s="1125"/>
      <c r="AK24" s="1131"/>
      <c r="AL24" s="1134"/>
      <c r="AM24" s="690" t="str">
        <f t="shared" ref="AM24" si="6">IF(Q24="","",IF(Q24&lt;O24,"！加算の要件上は問題ありませんが、令和６年度末の加算率と比較して、令和７年度の加算率が低くなっています。",""))</f>
        <v/>
      </c>
      <c r="AN24" s="385"/>
      <c r="AO24" s="1120" t="str">
        <f>IF(K24&lt;&gt;"","Q列に色付け","")</f>
        <v>Q列に色付け</v>
      </c>
      <c r="AP24" s="1137" t="str">
        <f>IF(AND(AE24&lt;&gt;0,AE24&lt;&gt;""),IF(AF24="○","入力済","未入力"),"")</f>
        <v>入力済</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対象</v>
      </c>
      <c r="AV24" s="838" t="str">
        <f>IF(AND(P24&lt;&gt;"処遇改善加算Ⅲ",P24&lt;&gt;"処遇改善加算Ⅳ", P24&lt;&gt;"", AU24&lt;&gt;"対象外"), 1,"")</f>
        <v/>
      </c>
      <c r="AW24" s="838" t="str">
        <f>IFERROR("_"&amp;VLOOKUP(K24, 【参考】数式用２!$AG$2:$AH$48, 2, FALSE), "")</f>
        <v>_11</v>
      </c>
      <c r="AX24" s="1138" t="str">
        <f>IF(AND(P24="処遇改善加算Ⅰ", AL24=""), "未入力","入力済")</f>
        <v>入力済</v>
      </c>
      <c r="AY24" s="1120" t="str">
        <f>G24</f>
        <v>東京都</v>
      </c>
      <c r="AZ24"/>
      <c r="BA24"/>
      <c r="BB24"/>
      <c r="BC24"/>
      <c r="BD24"/>
      <c r="BE24"/>
      <c r="BF24"/>
      <c r="BG24"/>
    </row>
    <row r="25" spans="1:59" ht="14.4">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4">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1111111111</v>
      </c>
      <c r="C28" s="1105"/>
      <c r="D28" s="1105"/>
      <c r="E28" s="1105"/>
      <c r="F28" s="1105"/>
      <c r="G28" s="1105" t="str">
        <f>IF(基本情報入力シート!L44="", "",基本情報入力シート!L44)</f>
        <v>千代田区</v>
      </c>
      <c r="H28" s="1105" t="str">
        <f>IF(基本情報入力シート!Q44="", "",基本情報入力シート!Q44)</f>
        <v>東京都</v>
      </c>
      <c r="I28" s="1105" t="str">
        <f>IF(基本情報入力シート!V44="", "",基本情報入力シート!V44)</f>
        <v>千代田区</v>
      </c>
      <c r="J28" s="1105" t="str">
        <f>IF(基本情報入力シート!W44="", "",基本情報入力シート!W44)</f>
        <v>◇◇ホームヘルプ</v>
      </c>
      <c r="K28" s="1105" t="str">
        <f>IF(基本情報入力シート!X44="", "",基本情報入力シート!X44)</f>
        <v>夜間対応型訪問介護</v>
      </c>
      <c r="L28" s="1110">
        <f>IF(基本情報入力シート!AC44=0, "",基本情報入力シート!AC44)</f>
        <v>750000</v>
      </c>
      <c r="M28" s="1113">
        <f>IF(基本情報入力シート!AD44="", "",基本情報入力シート!AD44)</f>
        <v>11.4</v>
      </c>
      <c r="N28" s="1071" t="s">
        <v>486</v>
      </c>
      <c r="O28" s="1056">
        <f>IFERROR(VLOOKUP(K28,【参考】数式用２!$A$2:$AD$48,MATCH(N28,【参考】数式用２!$C$4:$AD$4,0)+2,0),"")</f>
        <v>0.221</v>
      </c>
      <c r="P28" s="1139" t="s">
        <v>476</v>
      </c>
      <c r="Q28" s="1142">
        <f>IFERROR(VLOOKUP(K28,【参考】数式用２!$A$2:$AC$48,MATCH(P28,【参考】数式用２!$C$4:$AC$4,0)+2,0),"")</f>
        <v>0.245</v>
      </c>
      <c r="R28" s="1145" t="s">
        <v>388</v>
      </c>
      <c r="S28" s="1148">
        <v>7</v>
      </c>
      <c r="T28" s="1065" t="s">
        <v>477</v>
      </c>
      <c r="U28" s="1148">
        <v>4</v>
      </c>
      <c r="V28" s="1065" t="s">
        <v>478</v>
      </c>
      <c r="W28" s="1148">
        <v>8</v>
      </c>
      <c r="X28" s="1065" t="s">
        <v>477</v>
      </c>
      <c r="Y28" s="1148">
        <v>3</v>
      </c>
      <c r="Z28" s="1065" t="s">
        <v>479</v>
      </c>
      <c r="AA28" s="1065" t="s">
        <v>291</v>
      </c>
      <c r="AB28" s="1065">
        <f>IF(S28&gt;=1,(W28*12+Y28)-(S28*12+U28)+1,"")</f>
        <v>12</v>
      </c>
      <c r="AC28" s="1068" t="s">
        <v>480</v>
      </c>
      <c r="AD28" s="1059">
        <f>IFERROR(ROUNDDOWN(ROUND(L28*Q28,0)*M28,0)*AB28,"")</f>
        <v>25137000</v>
      </c>
      <c r="AE28" s="1062">
        <f>IFERROR(ROUNDDOWN(ROUNDDOWN(ROUND(L28*VLOOKUP(K28,【参考】数式用２!$A$2:$AC$48,MATCH("処遇改善加算Ⅳ",【参考】数式用２!$C$4:$O$4,0)+2,0),0)*M28,0)*AB28*0.5,0), "")</f>
        <v>7438500</v>
      </c>
      <c r="AF28" s="1125" t="s">
        <v>47</v>
      </c>
      <c r="AG28" s="1059">
        <f>IF(AND(AQ28&lt;&gt;"対象外", P28&lt;&gt;""),ROUNDDOWN(ROUND(L28*VLOOKUP(K28,【参考】数式用２!$A$2:$K$48,MATCH("ベア加算あり",【参考】数式用２!$C$4:$K$4,0)+2,0),0)*M28,0)*AB28,"")</f>
        <v>2462400</v>
      </c>
      <c r="AH28" s="1128" t="s">
        <v>47</v>
      </c>
      <c r="AI28" s="1125" t="s">
        <v>481</v>
      </c>
      <c r="AJ28" s="1125" t="s">
        <v>481</v>
      </c>
      <c r="AK28" s="1131">
        <v>1</v>
      </c>
      <c r="AL28" s="1134" t="s">
        <v>487</v>
      </c>
      <c r="AM28" s="690" t="str">
        <f t="shared" ref="AM28" si="9">IF(Q28="","",IF(Q28&lt;O28,"！加算の要件上は問題ありませんが、令和６年度末の加算率と比較して、令和７年度の加算率が低くなっています。",""))</f>
        <v/>
      </c>
      <c r="AN28" s="385"/>
      <c r="AO28" s="1120" t="str">
        <f>IF(K28&lt;&gt;"","Q列に色付け","")</f>
        <v>Q列に色付け</v>
      </c>
      <c r="AP28" s="1137" t="str">
        <f>IF(AND(AE28&lt;&gt;0,AE28&lt;&gt;""),IF(AF28="○","入力済","未入力"),"")</f>
        <v>入力済</v>
      </c>
      <c r="AQ28" s="975" t="str">
        <f>IFERROR((VLOOKUP(N28, 【参考】数式用２!$BE$5:$BE$13, 1,FALSE)), "対象外")</f>
        <v>処遇改善加算Ⅴ（１）</v>
      </c>
      <c r="AR28" s="838" t="str">
        <f>IF(AG28&lt;&gt;"",IF(AH28="○","入力済","未入力"),"")</f>
        <v>入力済</v>
      </c>
      <c r="AS28" s="838" t="str">
        <f>IF(AND(P28&lt;&gt;"", AI28=""), "未入力", "入力済")</f>
        <v>入力済</v>
      </c>
      <c r="AT28" s="838" t="str">
        <f>IF(AND(P28&lt;&gt;"", P28&lt;&gt;"処遇改善加算Ⅳ", AJ28=""), "未入力", "入力済")</f>
        <v>入力済</v>
      </c>
      <c r="AU28" s="838" t="str">
        <f>IFERROR(VLOOKUP(K28, 【参考】数式用２!$BB$5:$BC$48, 2, FALSE), "")</f>
        <v>対象</v>
      </c>
      <c r="AV28" s="838">
        <f>IF(AND(P28&lt;&gt;"処遇改善加算Ⅲ",P28&lt;&gt;"処遇改善加算Ⅳ", P28&lt;&gt;"", AU28&lt;&gt;"対象外"), 1,"")</f>
        <v>1</v>
      </c>
      <c r="AW28" s="838" t="str">
        <f>IFERROR("_"&amp;VLOOKUP(K28, 【参考】数式用２!$AG$2:$AH$48, 2, FALSE), "")</f>
        <v>_71</v>
      </c>
      <c r="AX28" s="1138" t="str">
        <f>IF(AND(P28="処遇改善加算Ⅰ", AL28=""), "未入力","入力済")</f>
        <v>入力済</v>
      </c>
      <c r="AY28" s="1120" t="str">
        <f>G28</f>
        <v>千代田区</v>
      </c>
      <c r="AZ28"/>
      <c r="BA28"/>
      <c r="BB28"/>
      <c r="BC28"/>
      <c r="BD28"/>
      <c r="BE28"/>
      <c r="BF28"/>
      <c r="BG28"/>
    </row>
    <row r="29" spans="1:59" ht="14.4">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4">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1111111112</v>
      </c>
      <c r="C32" s="1119"/>
      <c r="D32" s="1119"/>
      <c r="E32" s="1119"/>
      <c r="F32" s="1119"/>
      <c r="G32" s="1119" t="str">
        <f>IF(基本情報入力シート!L45="", "",基本情報入力シート!L45)</f>
        <v>千代田区</v>
      </c>
      <c r="H32" s="1119" t="str">
        <f>IF(基本情報入力シート!Q45="", "",基本情報入力シート!Q45)</f>
        <v>東京都</v>
      </c>
      <c r="I32" s="1119" t="str">
        <f>IF(基本情報入力シート!V45="", "",基本情報入力シート!V45)</f>
        <v>千代田区</v>
      </c>
      <c r="J32" s="1119" t="str">
        <f>IF(基本情報入力シート!W45="", "",基本情報入力シート!W45)</f>
        <v>○○定巡</v>
      </c>
      <c r="K32" s="1119" t="str">
        <f>IF(基本情報入力シート!X45="", "",基本情報入力シート!X45)</f>
        <v>定期巡回・随時対応型訪問介護看護</v>
      </c>
      <c r="L32" s="1110">
        <f>IF(基本情報入力シート!AC45=0, "",基本情報入力シート!AC45)</f>
        <v>750000</v>
      </c>
      <c r="M32" s="1113">
        <f>IF(基本情報入力シート!AD45="", "",基本情報入力シート!AD45)</f>
        <v>11.4</v>
      </c>
      <c r="N32" s="1071" t="s">
        <v>488</v>
      </c>
      <c r="O32" s="1056">
        <f>IFERROR(VLOOKUP(K32,【参考】数式用２!$A$2:$AD$48,MATCH(N32,【参考】数式用２!$C$4:$AD$4,0)+2,0),"")</f>
        <v>0.20799999999999999</v>
      </c>
      <c r="P32" s="1139" t="s">
        <v>476</v>
      </c>
      <c r="Q32" s="1142">
        <f>IFERROR(VLOOKUP(K32,【参考】数式用２!$A$2:$AC$48,MATCH(P32,【参考】数式用２!$C$4:$AC$4,0)+2,0),"")</f>
        <v>0.245</v>
      </c>
      <c r="R32" s="1145" t="s">
        <v>388</v>
      </c>
      <c r="S32" s="1148">
        <v>7</v>
      </c>
      <c r="T32" s="1065" t="s">
        <v>477</v>
      </c>
      <c r="U32" s="1148">
        <v>4</v>
      </c>
      <c r="V32" s="1065" t="s">
        <v>478</v>
      </c>
      <c r="W32" s="1148">
        <v>8</v>
      </c>
      <c r="X32" s="1065" t="s">
        <v>477</v>
      </c>
      <c r="Y32" s="1148">
        <v>3</v>
      </c>
      <c r="Z32" s="1065" t="s">
        <v>479</v>
      </c>
      <c r="AA32" s="1065" t="s">
        <v>291</v>
      </c>
      <c r="AB32" s="1065">
        <f>IF(S32&gt;=1,(W32*12+Y32)-(S32*12+U32)+1,"")</f>
        <v>12</v>
      </c>
      <c r="AC32" s="1068" t="s">
        <v>480</v>
      </c>
      <c r="AD32" s="1059">
        <f>IFERROR(ROUNDDOWN(ROUND(L32*Q32,0)*M32,0)*AB32,"")</f>
        <v>25137000</v>
      </c>
      <c r="AE32" s="1062">
        <f>IFERROR(ROUNDDOWN(ROUNDDOWN(ROUND(L32*VLOOKUP(K32,【参考】数式用２!$A$2:$AC$48,MATCH("処遇改善加算Ⅳ",【参考】数式用２!$C$4:$O$4,0)+2,0),0)*M32,0)*AB32*0.5,0), "")</f>
        <v>7438500</v>
      </c>
      <c r="AF32" s="1125" t="s">
        <v>47</v>
      </c>
      <c r="AG32" s="1059" t="str">
        <f>IF(AND(AQ32&lt;&gt;"対象外", P32&lt;&gt;""),ROUNDDOWN(ROUND(L32*VLOOKUP(K32,【参考】数式用２!$A$2:$K$48,MATCH("ベア加算あり",【参考】数式用２!$C$4:$K$4,0)+2,0),0)*M32,0)*AB32,"")</f>
        <v/>
      </c>
      <c r="AH32" s="1128"/>
      <c r="AI32" s="1125" t="s">
        <v>481</v>
      </c>
      <c r="AJ32" s="1125" t="s">
        <v>481</v>
      </c>
      <c r="AK32" s="1131">
        <v>1</v>
      </c>
      <c r="AL32" s="1134" t="s">
        <v>489</v>
      </c>
      <c r="AM32" s="690" t="str">
        <f t="shared" ref="AM32" si="12">IF(Q32="","",IF(Q32&lt;O32,"！加算の要件上は問題ありませんが、令和６年度末の加算率と比較して、令和７年度の加算率が低くなっています。",""))</f>
        <v/>
      </c>
      <c r="AN32" s="385"/>
      <c r="AO32" s="1121" t="str">
        <f>IF(K32&lt;&gt;"","Q列に色付け","")</f>
        <v>Q列に色付け</v>
      </c>
      <c r="AP32" s="1137" t="str">
        <f>IF(AND(AE32&lt;&gt;0,AE32&lt;&gt;""),IF(AF32="○","入力済","未入力"),"")</f>
        <v>入力済</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f>IF(AND(P32&lt;&gt;"処遇改善加算Ⅲ",P32&lt;&gt;"処遇改善加算Ⅳ", P32&lt;&gt;"", AU32&lt;&gt;"対象外"), 1,"")</f>
        <v>1</v>
      </c>
      <c r="AW32" s="838" t="str">
        <f>IFERROR("_"&amp;VLOOKUP(K32, 【参考】数式用２!$AG$2:$AH$48, 2, FALSE), "")</f>
        <v>_76</v>
      </c>
      <c r="AX32" s="1138" t="str">
        <f>IF(AND(P32="処遇改善加算Ⅰ", AL32=""), "未入力","入力済")</f>
        <v>入力済</v>
      </c>
      <c r="AY32" s="1120" t="str">
        <f>G32</f>
        <v>千代田区</v>
      </c>
      <c r="AZ32"/>
      <c r="BA32"/>
      <c r="BB32"/>
      <c r="BC32"/>
      <c r="BD32"/>
      <c r="BE32"/>
      <c r="BF32"/>
      <c r="BG32"/>
    </row>
    <row r="33" spans="1:59" ht="14.4">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4">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1111111113</v>
      </c>
      <c r="C36" s="1105"/>
      <c r="D36" s="1105"/>
      <c r="E36" s="1105"/>
      <c r="F36" s="1105"/>
      <c r="G36" s="1105" t="str">
        <f>IF(基本情報入力シート!L46="", "",基本情報入力シート!L46)</f>
        <v>東京都</v>
      </c>
      <c r="H36" s="1105" t="str">
        <f>IF(基本情報入力シート!Q46="", "",基本情報入力シート!Q46)</f>
        <v>東京都</v>
      </c>
      <c r="I36" s="1105" t="str">
        <f>IF(基本情報入力シート!V46="", "",基本情報入力シート!V46)</f>
        <v>千代田区</v>
      </c>
      <c r="J36" s="1105" t="str">
        <f>IF(基本情報入力シート!W46="", "",基本情報入力シート!W46)</f>
        <v>○○訪問入浴介護</v>
      </c>
      <c r="K36" s="1105" t="str">
        <f>IF(基本情報入力シート!X46="", "",基本情報入力シート!X46)</f>
        <v>訪問入浴介護</v>
      </c>
      <c r="L36" s="1110">
        <f>IF(基本情報入力シート!AC46=0, "",基本情報入力シート!AC46)</f>
        <v>750000</v>
      </c>
      <c r="M36" s="1113">
        <f>IF(基本情報入力シート!AD46="", "",基本情報入力シート!AD46)</f>
        <v>11.4</v>
      </c>
      <c r="N36" s="1071" t="s">
        <v>490</v>
      </c>
      <c r="O36" s="1056">
        <f>IFERROR(VLOOKUP(K36,【参考】数式用２!$A$2:$AD$48,MATCH(N36,【参考】数式用２!$C$4:$AD$4,0)+2,0),"")</f>
        <v>8.3000000000000004E-2</v>
      </c>
      <c r="P36" s="1139" t="s">
        <v>476</v>
      </c>
      <c r="Q36" s="1142">
        <f>IFERROR(VLOOKUP(K36,【参考】数式用２!$A$2:$AC$48,MATCH(P36,【参考】数式用２!$C$4:$AC$4,0)+2,0),"")</f>
        <v>9.9999999999999992E-2</v>
      </c>
      <c r="R36" s="1145" t="s">
        <v>388</v>
      </c>
      <c r="S36" s="1148">
        <v>7</v>
      </c>
      <c r="T36" s="1065" t="s">
        <v>477</v>
      </c>
      <c r="U36" s="1148">
        <v>4</v>
      </c>
      <c r="V36" s="1065" t="s">
        <v>478</v>
      </c>
      <c r="W36" s="1148">
        <v>8</v>
      </c>
      <c r="X36" s="1065" t="s">
        <v>477</v>
      </c>
      <c r="Y36" s="1148">
        <v>3</v>
      </c>
      <c r="Z36" s="1065" t="s">
        <v>479</v>
      </c>
      <c r="AA36" s="1065" t="s">
        <v>291</v>
      </c>
      <c r="AB36" s="1065">
        <f>IF(S36&gt;=1,(W36*12+Y36)-(S36*12+U36)+1,"")</f>
        <v>12</v>
      </c>
      <c r="AC36" s="1068" t="s">
        <v>480</v>
      </c>
      <c r="AD36" s="1059">
        <f>IFERROR(ROUNDDOWN(ROUND(L36*Q36,0)*M36,0)*AB36,"")</f>
        <v>10260000</v>
      </c>
      <c r="AE36" s="1062">
        <f>IFERROR(ROUNDDOWN(ROUNDDOWN(ROUND(L36*VLOOKUP(K36,【参考】数式用２!$A$2:$AC$48,MATCH("処遇改善加算Ⅳ",【参考】数式用２!$C$4:$O$4,0)+2,0),0)*M36,0)*AB36*0.5,0), "")</f>
        <v>3231900</v>
      </c>
      <c r="AF36" s="1125" t="s">
        <v>47</v>
      </c>
      <c r="AG36" s="1059">
        <f>IF(AND(AQ36&lt;&gt;"対象外", P36&lt;&gt;""),ROUNDDOWN(ROUND(L36*VLOOKUP(K36,【参考】数式用２!$A$2:$K$48,MATCH("ベア加算あり",【参考】数式用２!$C$4:$K$4,0)+2,0),0)*M36,0)*AB36,"")</f>
        <v>1128600</v>
      </c>
      <c r="AH36" s="1128" t="s">
        <v>47</v>
      </c>
      <c r="AI36" s="1125" t="s">
        <v>47</v>
      </c>
      <c r="AJ36" s="1125" t="s">
        <v>47</v>
      </c>
      <c r="AK36" s="1131">
        <v>1</v>
      </c>
      <c r="AL36" s="1134" t="s">
        <v>489</v>
      </c>
      <c r="AM36" s="690" t="str">
        <f t="shared" ref="AM36" si="15">IF(Q36="","",IF(Q36&lt;O36,"！加算の要件上は問題ありませんが、令和６年度末の加算率と比較して、令和７年度の加算率が低くなっています。",""))</f>
        <v/>
      </c>
      <c r="AN36" s="385"/>
      <c r="AO36" s="1120" t="str">
        <f>IF(K36&lt;&gt;"","Q列に色付け","")</f>
        <v>Q列に色付け</v>
      </c>
      <c r="AP36" s="1137" t="str">
        <f>IF(AND(AE36&lt;&gt;0,AE36&lt;&gt;""),IF(AF36="○","入力済","未入力"),"")</f>
        <v>入力済</v>
      </c>
      <c r="AQ36" s="975" t="str">
        <f>IFERROR((VLOOKUP(N36, 【参考】数式用２!$BE$5:$BE$13, 1,FALSE)), "対象外")</f>
        <v>処遇改善加算Ⅴ（３）</v>
      </c>
      <c r="AR36" s="838" t="str">
        <f>IF(AG36&lt;&gt;"",IF(AH36="○","入力済","未入力"),"")</f>
        <v>入力済</v>
      </c>
      <c r="AS36" s="838" t="str">
        <f>IF(AND(P36&lt;&gt;"", AI36=""), "未入力", "入力済")</f>
        <v>入力済</v>
      </c>
      <c r="AT36" s="838" t="str">
        <f>IF(AND(P36&lt;&gt;"", P36&lt;&gt;"処遇改善加算Ⅳ", AJ36=""), "未入力", "入力済")</f>
        <v>入力済</v>
      </c>
      <c r="AU36" s="838" t="str">
        <f>IFERROR(VLOOKUP(K36, 【参考】数式用２!$BB$5:$BC$48, 2, FALSE), "")</f>
        <v>対象</v>
      </c>
      <c r="AV36" s="838">
        <f>IF(AND(P36&lt;&gt;"処遇改善加算Ⅲ",P36&lt;&gt;"処遇改善加算Ⅳ", P36&lt;&gt;"", AU36&lt;&gt;"対象外"), 1,"")</f>
        <v>1</v>
      </c>
      <c r="AW36" s="838" t="str">
        <f>IFERROR("_"&amp;VLOOKUP(K36, 【参考】数式用２!$AG$2:$AH$48, 2, FALSE), "")</f>
        <v>_12</v>
      </c>
      <c r="AX36" s="1138" t="str">
        <f>IF(AND(P36="処遇改善加算Ⅰ", AL36=""), "未入力","入力済")</f>
        <v>入力済</v>
      </c>
      <c r="AY36" s="1120" t="str">
        <f>G36</f>
        <v>東京都</v>
      </c>
      <c r="AZ36"/>
      <c r="BA36"/>
      <c r="BB36"/>
      <c r="BC36"/>
      <c r="BD36"/>
      <c r="BE36"/>
      <c r="BF36"/>
      <c r="BG36"/>
    </row>
    <row r="37" spans="1:59" ht="14.4">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4">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1111111114</v>
      </c>
      <c r="C40" s="1105"/>
      <c r="D40" s="1105"/>
      <c r="E40" s="1105"/>
      <c r="F40" s="1105"/>
      <c r="G40" s="1105" t="str">
        <f>IF(基本情報入力シート!L47="", "",基本情報入力シート!L47)</f>
        <v>東京都</v>
      </c>
      <c r="H40" s="1105" t="str">
        <f>IF(基本情報入力シート!Q47="", "",基本情報入力シート!Q47)</f>
        <v>東京都</v>
      </c>
      <c r="I40" s="1105" t="str">
        <f>IF(基本情報入力シート!V47="", "",基本情報入力シート!V47)</f>
        <v>千代田区</v>
      </c>
      <c r="J40" s="1105" t="str">
        <f>IF(基本情報入力シート!W47="", "",基本情報入力シート!W47)</f>
        <v>○○訪問入浴介護</v>
      </c>
      <c r="K40" s="1105" t="str">
        <f>IF(基本情報入力シート!X47="", "",基本情報入力シート!X47)</f>
        <v>介護予防訪問入浴介護</v>
      </c>
      <c r="L40" s="1110">
        <f>IF(基本情報入力シート!AC47=0, "",基本情報入力シート!AC47)</f>
        <v>750000</v>
      </c>
      <c r="M40" s="1113">
        <f>IF(基本情報入力シート!AD47="", "",基本情報入力シート!AD47)</f>
        <v>11.4</v>
      </c>
      <c r="N40" s="1071" t="s">
        <v>491</v>
      </c>
      <c r="O40" s="1056">
        <f>IFERROR(VLOOKUP(K40,【参考】数式用２!$A$2:$AD$48,MATCH(N40,【参考】数式用２!$C$4:$AD$4,0)+2,0),"")</f>
        <v>7.8E-2</v>
      </c>
      <c r="P40" s="1139" t="s">
        <v>476</v>
      </c>
      <c r="Q40" s="1142">
        <f>IFERROR(VLOOKUP(K40,【参考】数式用２!$A$2:$AC$48,MATCH(P40,【参考】数式用２!$C$4:$AC$4,0)+2,0),"")</f>
        <v>9.9999999999999992E-2</v>
      </c>
      <c r="R40" s="1145" t="s">
        <v>388</v>
      </c>
      <c r="S40" s="1148">
        <v>7</v>
      </c>
      <c r="T40" s="1065" t="s">
        <v>477</v>
      </c>
      <c r="U40" s="1148">
        <v>4</v>
      </c>
      <c r="V40" s="1065" t="s">
        <v>478</v>
      </c>
      <c r="W40" s="1148">
        <v>8</v>
      </c>
      <c r="X40" s="1065" t="s">
        <v>477</v>
      </c>
      <c r="Y40" s="1148">
        <v>3</v>
      </c>
      <c r="Z40" s="1065" t="s">
        <v>479</v>
      </c>
      <c r="AA40" s="1065" t="s">
        <v>291</v>
      </c>
      <c r="AB40" s="1065">
        <f>IF(S40&gt;=1,(W40*12+Y40)-(S40*12+U40)+1,"")</f>
        <v>12</v>
      </c>
      <c r="AC40" s="1068" t="s">
        <v>480</v>
      </c>
      <c r="AD40" s="1059">
        <f>IFERROR(ROUNDDOWN(ROUND(L40*Q40,0)*M40,0)*AB40,"")</f>
        <v>10260000</v>
      </c>
      <c r="AE40" s="1062">
        <f>IFERROR(ROUNDDOWN(ROUNDDOWN(ROUND(L40*VLOOKUP(K40,【参考】数式用２!$A$2:$AC$48,MATCH("処遇改善加算Ⅳ",【参考】数式用２!$C$4:$O$4,0)+2,0),0)*M40,0)*AB40*0.5,0), "")</f>
        <v>3231900</v>
      </c>
      <c r="AF40" s="1125" t="s">
        <v>47</v>
      </c>
      <c r="AG40" s="1059" t="str">
        <f>IF(AND(AQ40&lt;&gt;"対象外", P40&lt;&gt;""),ROUNDDOWN(ROUND(L40*VLOOKUP(K40,【参考】数式用２!$A$2:$K$48,MATCH("ベア加算あり",【参考】数式用２!$C$4:$K$4,0)+2,0),0)*M40,0)*AB40,"")</f>
        <v/>
      </c>
      <c r="AH40" s="1128"/>
      <c r="AI40" s="1125" t="s">
        <v>47</v>
      </c>
      <c r="AJ40" s="1125" t="s">
        <v>481</v>
      </c>
      <c r="AK40" s="1131"/>
      <c r="AL40" s="1134" t="s">
        <v>489</v>
      </c>
      <c r="AM40" s="690" t="str">
        <f t="shared" ref="AM40" si="18">IF(Q40="","",IF(Q40&lt;O40,"！加算の要件上は問題ありませんが、令和６年度末の加算率と比較して、令和７年度の加算率が低くなっています。",""))</f>
        <v/>
      </c>
      <c r="AN40" s="385"/>
      <c r="AO40" s="1120" t="str">
        <f>IF(K40&lt;&gt;"","Q列に色付け","")</f>
        <v>Q列に色付け</v>
      </c>
      <c r="AP40" s="1137" t="str">
        <f>IF(AND(AE40&lt;&gt;0,AE40&lt;&gt;""),IF(AF40="○","入力済","未入力"),"")</f>
        <v>入力済</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対象外</v>
      </c>
      <c r="AV40" s="838" t="str">
        <f>IF(AND(P40&lt;&gt;"処遇改善加算Ⅲ",P40&lt;&gt;"処遇改善加算Ⅳ", P40&lt;&gt;"", AU40&lt;&gt;"対象外"), 1,"")</f>
        <v/>
      </c>
      <c r="AW40" s="838" t="str">
        <f>IFERROR("_"&amp;VLOOKUP(K40, 【参考】数式用２!$AG$2:$AH$48, 2, FALSE), "")</f>
        <v>_62</v>
      </c>
      <c r="AX40" s="1138" t="str">
        <f>IF(AND(P40="処遇改善加算Ⅰ", AL40=""), "未入力","入力済")</f>
        <v>入力済</v>
      </c>
      <c r="AY40" s="1120" t="str">
        <f>G40</f>
        <v>東京都</v>
      </c>
      <c r="AZ40"/>
      <c r="BA40"/>
      <c r="BB40"/>
      <c r="BC40"/>
      <c r="BD40"/>
      <c r="BE40"/>
      <c r="BF40"/>
      <c r="BG40"/>
    </row>
    <row r="41" spans="1:59" ht="14.4">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4">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1111111115</v>
      </c>
      <c r="C44" s="1105"/>
      <c r="D44" s="1105"/>
      <c r="E44" s="1105"/>
      <c r="F44" s="1105"/>
      <c r="G44" s="1105" t="str">
        <f>IF(基本情報入力シート!L48="", "",基本情報入力シート!L48)</f>
        <v>東京都</v>
      </c>
      <c r="H44" s="1105" t="str">
        <f>IF(基本情報入力シート!Q48="", "",基本情報入力シート!Q48)</f>
        <v>東京都</v>
      </c>
      <c r="I44" s="1105" t="str">
        <f>IF(基本情報入力シート!V48="", "",基本情報入力シート!V48)</f>
        <v>千代田区</v>
      </c>
      <c r="J44" s="1105" t="str">
        <f>IF(基本情報入力シート!W48="", "",基本情報入力シート!W48)</f>
        <v>○○デイケア</v>
      </c>
      <c r="K44" s="1105" t="str">
        <f>IF(基本情報入力シート!X48="", "",基本情報入力シート!X48)</f>
        <v>通所介護</v>
      </c>
      <c r="L44" s="1110">
        <f>IF(基本情報入力シート!AC48=0, "",基本情報入力シート!AC48)</f>
        <v>750000</v>
      </c>
      <c r="M44" s="1113">
        <f>IF(基本情報入力シート!AD48="", "",基本情報入力シート!AD48)</f>
        <v>10.9</v>
      </c>
      <c r="N44" s="1071" t="s">
        <v>492</v>
      </c>
      <c r="O44" s="1056">
        <f>IFERROR(VLOOKUP(K44,【参考】数式用２!$A$2:$AD$48,MATCH(N44,【参考】数式用２!$C$4:$AD$4,0)+2,0),"")</f>
        <v>6.4999999999999988E-2</v>
      </c>
      <c r="P44" s="1139" t="s">
        <v>476</v>
      </c>
      <c r="Q44" s="1142">
        <f>IFERROR(VLOOKUP(K44,【参考】数式用２!$A$2:$AC$48,MATCH(P44,【参考】数式用２!$C$4:$AC$4,0)+2,0),"")</f>
        <v>9.1999999999999985E-2</v>
      </c>
      <c r="R44" s="1145" t="s">
        <v>388</v>
      </c>
      <c r="S44" s="1148">
        <v>7</v>
      </c>
      <c r="T44" s="1065" t="s">
        <v>477</v>
      </c>
      <c r="U44" s="1148">
        <v>4</v>
      </c>
      <c r="V44" s="1065" t="s">
        <v>478</v>
      </c>
      <c r="W44" s="1148">
        <v>8</v>
      </c>
      <c r="X44" s="1065" t="s">
        <v>477</v>
      </c>
      <c r="Y44" s="1148">
        <v>3</v>
      </c>
      <c r="Z44" s="1065" t="s">
        <v>479</v>
      </c>
      <c r="AA44" s="1065" t="s">
        <v>291</v>
      </c>
      <c r="AB44" s="1065">
        <f>IF(S44&gt;=1,(W44*12+Y44)-(S44*12+U44)+1,"")</f>
        <v>12</v>
      </c>
      <c r="AC44" s="1068" t="s">
        <v>480</v>
      </c>
      <c r="AD44" s="1059">
        <f>IFERROR(ROUNDDOWN(ROUND(L44*Q44,0)*M44,0)*AB44,"")</f>
        <v>9025200</v>
      </c>
      <c r="AE44" s="1062">
        <f>IFERROR(ROUNDDOWN(ROUNDDOWN(ROUND(L44*VLOOKUP(K44,【参考】数式用２!$A$2:$AC$48,MATCH("処遇改善加算Ⅳ",【参考】数式用２!$C$4:$O$4,0)+2,0),0)*M44,0)*AB44*0.5,0), "")</f>
        <v>3139200</v>
      </c>
      <c r="AF44" s="1125" t="s">
        <v>47</v>
      </c>
      <c r="AG44" s="1059">
        <f>IF(AND(AQ44&lt;&gt;"対象外", P44&lt;&gt;""),ROUNDDOWN(ROUND(L44*VLOOKUP(K44,【参考】数式用２!$A$2:$K$48,MATCH("ベア加算あり",【参考】数式用２!$C$4:$K$4,0)+2,0),0)*M44,0)*AB44,"")</f>
        <v>1079100</v>
      </c>
      <c r="AH44" s="1128" t="s">
        <v>47</v>
      </c>
      <c r="AI44" s="1125" t="s">
        <v>481</v>
      </c>
      <c r="AJ44" s="1125" t="s">
        <v>481</v>
      </c>
      <c r="AK44" s="1131">
        <v>1</v>
      </c>
      <c r="AL44" s="1134" t="s">
        <v>489</v>
      </c>
      <c r="AM44" s="690" t="str">
        <f t="shared" ref="AM44" si="21">IF(Q44="","",IF(Q44&lt;O44,"！加算の要件上は問題ありませんが、令和６年度末の加算率と比較して、令和７年度の加算率が低くなっています。",""))</f>
        <v/>
      </c>
      <c r="AN44" s="385"/>
      <c r="AO44" s="1120" t="str">
        <f>IF(K44&lt;&gt;"","Q列に色付け","")</f>
        <v>Q列に色付け</v>
      </c>
      <c r="AP44" s="1137" t="str">
        <f>IF(AND(AE44&lt;&gt;0,AE44&lt;&gt;""),IF(AF44="○","入力済","未入力"),"")</f>
        <v>入力済</v>
      </c>
      <c r="AQ44" s="975" t="str">
        <f>IFERROR((VLOOKUP(N44, 【参考】数式用２!$BE$5:$BE$13, 1,FALSE)), "対象外")</f>
        <v>処遇改善加算Ⅴ（５）</v>
      </c>
      <c r="AR44" s="838" t="str">
        <f>IF(AG44&lt;&gt;"",IF(AH44="○","入力済","未入力"),"")</f>
        <v>入力済</v>
      </c>
      <c r="AS44" s="838" t="str">
        <f>IF(AND(P44&lt;&gt;"", AI44=""), "未入力", "入力済")</f>
        <v>入力済</v>
      </c>
      <c r="AT44" s="838" t="str">
        <f>IF(AND(P44&lt;&gt;"", P44&lt;&gt;"処遇改善加算Ⅳ", AJ44=""), "未入力", "入力済")</f>
        <v>入力済</v>
      </c>
      <c r="AU44" s="838" t="str">
        <f>IFERROR(VLOOKUP(K44, 【参考】数式用２!$BB$5:$BC$48, 2, FALSE), "")</f>
        <v>対象</v>
      </c>
      <c r="AV44" s="838">
        <f>IF(AND(P44&lt;&gt;"処遇改善加算Ⅲ",P44&lt;&gt;"処遇改善加算Ⅳ", P44&lt;&gt;"", AU44&lt;&gt;"対象外"), 1,"")</f>
        <v>1</v>
      </c>
      <c r="AW44" s="838" t="str">
        <f>IFERROR("_"&amp;VLOOKUP(K44, 【参考】数式用２!$AG$2:$AH$48, 2, FALSE), "")</f>
        <v>_15</v>
      </c>
      <c r="AX44" s="1138" t="str">
        <f>IF(AND(P44="処遇改善加算Ⅰ", AL44=""), "未入力","入力済")</f>
        <v>入力済</v>
      </c>
      <c r="AY44" s="1120" t="str">
        <f>G44</f>
        <v>東京都</v>
      </c>
      <c r="AZ44"/>
      <c r="BA44"/>
      <c r="BB44"/>
      <c r="BC44"/>
      <c r="BD44"/>
      <c r="BE44"/>
      <c r="BF44"/>
      <c r="BG44"/>
    </row>
    <row r="45" spans="1:59" ht="14.4">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4">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1111111116</v>
      </c>
      <c r="C48" s="1105"/>
      <c r="D48" s="1105"/>
      <c r="E48" s="1105"/>
      <c r="F48" s="1105"/>
      <c r="G48" s="1105" t="str">
        <f>IF(基本情報入力シート!L49="", "",基本情報入力シート!L49)</f>
        <v>千代田区</v>
      </c>
      <c r="H48" s="1105" t="str">
        <f>IF(基本情報入力シート!Q49="", "",基本情報入力シート!Q49)</f>
        <v>東京都</v>
      </c>
      <c r="I48" s="1105" t="str">
        <f>IF(基本情報入力シート!V49="", "",基本情報入力シート!V49)</f>
        <v>千代田区</v>
      </c>
      <c r="J48" s="1105" t="str">
        <f>IF(基本情報入力シート!W49="", "",基本情報入力シート!W49)</f>
        <v>○○デイケア</v>
      </c>
      <c r="K48" s="1105" t="str">
        <f>IF(基本情報入力シート!X49="", "",基本情報入力シート!X49)</f>
        <v>地域密着型通所介護</v>
      </c>
      <c r="L48" s="1110">
        <f>IF(基本情報入力シート!AC49=0, "",基本情報入力シート!AC49)</f>
        <v>750000</v>
      </c>
      <c r="M48" s="1113">
        <f>IF(基本情報入力シート!AD49="", "",基本情報入力シート!AD49)</f>
        <v>10.9</v>
      </c>
      <c r="N48" s="1071" t="s">
        <v>493</v>
      </c>
      <c r="O48" s="1056">
        <f>IFERROR(VLOOKUP(K48,【参考】数式用２!$A$2:$AD$48,MATCH(N48,【参考】数式用２!$C$4:$AD$4,0)+2,0),"")</f>
        <v>6.3E-2</v>
      </c>
      <c r="P48" s="1139" t="s">
        <v>476</v>
      </c>
      <c r="Q48" s="1142">
        <f>IFERROR(VLOOKUP(K48,【参考】数式用２!$A$2:$AC$48,MATCH(P48,【参考】数式用２!$C$4:$AC$4,0)+2,0),"")</f>
        <v>9.1999999999999985E-2</v>
      </c>
      <c r="R48" s="1145" t="s">
        <v>388</v>
      </c>
      <c r="S48" s="1148">
        <v>7</v>
      </c>
      <c r="T48" s="1065" t="s">
        <v>477</v>
      </c>
      <c r="U48" s="1148">
        <v>4</v>
      </c>
      <c r="V48" s="1065" t="s">
        <v>478</v>
      </c>
      <c r="W48" s="1148">
        <v>8</v>
      </c>
      <c r="X48" s="1065" t="s">
        <v>477</v>
      </c>
      <c r="Y48" s="1148">
        <v>3</v>
      </c>
      <c r="Z48" s="1065" t="s">
        <v>479</v>
      </c>
      <c r="AA48" s="1065" t="s">
        <v>291</v>
      </c>
      <c r="AB48" s="1065">
        <f>IF(S48&gt;=1,(W48*12+Y48)-(S48*12+U48)+1,"")</f>
        <v>12</v>
      </c>
      <c r="AC48" s="1068" t="s">
        <v>480</v>
      </c>
      <c r="AD48" s="1059">
        <f>IFERROR(ROUNDDOWN(ROUND(L48*Q48,0)*M48,0)*AB48,"")</f>
        <v>9025200</v>
      </c>
      <c r="AE48" s="1062">
        <f>IFERROR(ROUNDDOWN(ROUNDDOWN(ROUND(L48*VLOOKUP(K48,【参考】数式用２!$A$2:$AC$48,MATCH("処遇改善加算Ⅳ",【参考】数式用２!$C$4:$O$4,0)+2,0),0)*M48,0)*AB48*0.5,0), "")</f>
        <v>3139200</v>
      </c>
      <c r="AF48" s="1125" t="s">
        <v>47</v>
      </c>
      <c r="AG48" s="1059">
        <f>IF(AND(AQ48&lt;&gt;"対象外", P48&lt;&gt;""),ROUNDDOWN(ROUND(L48*VLOOKUP(K48,【参考】数式用２!$A$2:$K$48,MATCH("ベア加算あり",【参考】数式用２!$C$4:$K$4,0)+2,0),0)*M48,0)*AB48,"")</f>
        <v>1079100</v>
      </c>
      <c r="AH48" s="1128" t="s">
        <v>47</v>
      </c>
      <c r="AI48" s="1125" t="s">
        <v>481</v>
      </c>
      <c r="AJ48" s="1125" t="s">
        <v>47</v>
      </c>
      <c r="AK48" s="1131">
        <v>1</v>
      </c>
      <c r="AL48" s="1134" t="s">
        <v>489</v>
      </c>
      <c r="AM48" s="690" t="str">
        <f t="shared" ref="AM48" si="24">IF(Q48="","",IF(Q48&lt;O48,"！加算の要件上は問題ありませんが、令和６年度末の加算率と比較して、令和７年度の加算率が低くなっています。",""))</f>
        <v/>
      </c>
      <c r="AN48" s="385"/>
      <c r="AO48" s="1120" t="str">
        <f>IF(K48&lt;&gt;"","Q列に色付け","")</f>
        <v>Q列に色付け</v>
      </c>
      <c r="AP48" s="1137" t="str">
        <f>IF(AND(AE48&lt;&gt;0,AE48&lt;&gt;""),IF(AF48="○","入力済","未入力"),"")</f>
        <v>入力済</v>
      </c>
      <c r="AQ48" s="975" t="str">
        <f>IFERROR((VLOOKUP(N48, 【参考】数式用２!$BE$5:$BE$13, 1,FALSE)), "対象外")</f>
        <v>処遇改善加算Ⅴ（６）</v>
      </c>
      <c r="AR48" s="838" t="str">
        <f>IF(AG48&lt;&gt;"",IF(AH48="○","入力済","未入力"),"")</f>
        <v>入力済</v>
      </c>
      <c r="AS48" s="838" t="str">
        <f>IF(AND(P48&lt;&gt;"", AI48=""), "未入力", "入力済")</f>
        <v>入力済</v>
      </c>
      <c r="AT48" s="838" t="str">
        <f>IF(AND(P48&lt;&gt;"", P48&lt;&gt;"処遇改善加算Ⅳ", AJ48=""), "未入力", "入力済")</f>
        <v>入力済</v>
      </c>
      <c r="AU48" s="838" t="str">
        <f>IFERROR(VLOOKUP(K48, 【参考】数式用２!$BB$5:$BC$48, 2, FALSE), "")</f>
        <v>対象</v>
      </c>
      <c r="AV48" s="838">
        <f>IF(AND(P48&lt;&gt;"処遇改善加算Ⅲ",P48&lt;&gt;"処遇改善加算Ⅳ", P48&lt;&gt;"", AU48&lt;&gt;"対象外"), 1,"")</f>
        <v>1</v>
      </c>
      <c r="AW48" s="838" t="str">
        <f>IFERROR("_"&amp;VLOOKUP(K48, 【参考】数式用２!$AG$2:$AH$48, 2, FALSE), "")</f>
        <v>_78</v>
      </c>
      <c r="AX48" s="1138" t="str">
        <f>IF(AND(P48="処遇改善加算Ⅰ", AL48=""), "未入力","入力済")</f>
        <v>入力済</v>
      </c>
      <c r="AY48" s="1120" t="str">
        <f>G48</f>
        <v>千代田区</v>
      </c>
      <c r="AZ48"/>
      <c r="BA48"/>
      <c r="BB48"/>
      <c r="BC48"/>
      <c r="BD48"/>
      <c r="BE48"/>
      <c r="BF48"/>
      <c r="BG48"/>
    </row>
    <row r="49" spans="1:59" ht="14.4">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4">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1111111117</v>
      </c>
      <c r="C52" s="1105"/>
      <c r="D52" s="1105"/>
      <c r="E52" s="1105"/>
      <c r="F52" s="1105"/>
      <c r="G52" s="1105" t="str">
        <f>IF(基本情報入力シート!L50="", "",基本情報入力シート!L50)</f>
        <v>東京都</v>
      </c>
      <c r="H52" s="1105" t="str">
        <f>IF(基本情報入力シート!Q50="", "",基本情報入力シート!Q50)</f>
        <v>東京都</v>
      </c>
      <c r="I52" s="1105" t="str">
        <f>IF(基本情報入力シート!V50="", "",基本情報入力シート!V50)</f>
        <v>千代田区</v>
      </c>
      <c r="J52" s="1105" t="str">
        <f>IF(基本情報入力シート!W50="", "",基本情報入力シート!W50)</f>
        <v>○○リハ</v>
      </c>
      <c r="K52" s="1105" t="str">
        <f>IF(基本情報入力シート!X50="", "",基本情報入力シート!X50)</f>
        <v>通所リハビリテーション</v>
      </c>
      <c r="L52" s="1110">
        <f>IF(基本情報入力シート!AC50=0, "",基本情報入力シート!AC50)</f>
        <v>750000</v>
      </c>
      <c r="M52" s="1113">
        <f>IF(基本情報入力シート!AD50="", "",基本情報入力シート!AD50)</f>
        <v>11.1</v>
      </c>
      <c r="N52" s="1071" t="s">
        <v>494</v>
      </c>
      <c r="O52" s="1056">
        <f>IFERROR(VLOOKUP(K52,【参考】数式用２!$A$2:$AD$48,MATCH(N52,【参考】数式用２!$C$4:$AD$4,0)+2,0),"")</f>
        <v>5.8000000000000003E-2</v>
      </c>
      <c r="P52" s="1139" t="s">
        <v>476</v>
      </c>
      <c r="Q52" s="1142">
        <f>IFERROR(VLOOKUP(K52,【参考】数式用２!$A$2:$AC$48,MATCH(P52,【参考】数式用２!$C$4:$AC$4,0)+2,0),"")</f>
        <v>8.5999999999999993E-2</v>
      </c>
      <c r="R52" s="1145" t="s">
        <v>388</v>
      </c>
      <c r="S52" s="1148">
        <v>7</v>
      </c>
      <c r="T52" s="1065" t="s">
        <v>477</v>
      </c>
      <c r="U52" s="1148">
        <v>4</v>
      </c>
      <c r="V52" s="1065" t="s">
        <v>478</v>
      </c>
      <c r="W52" s="1148">
        <v>8</v>
      </c>
      <c r="X52" s="1065" t="s">
        <v>477</v>
      </c>
      <c r="Y52" s="1148">
        <v>3</v>
      </c>
      <c r="Z52" s="1065" t="s">
        <v>479</v>
      </c>
      <c r="AA52" s="1065" t="s">
        <v>291</v>
      </c>
      <c r="AB52" s="1065">
        <f>IF(S52&gt;=1,(W52*12+Y52)-(S52*12+U52)+1,"")</f>
        <v>12</v>
      </c>
      <c r="AC52" s="1068" t="s">
        <v>480</v>
      </c>
      <c r="AD52" s="1059">
        <f>IFERROR(ROUNDDOWN(ROUND(L52*Q52,0)*M52,0)*AB52,"")</f>
        <v>8591400</v>
      </c>
      <c r="AE52" s="1062">
        <f>IFERROR(ROUNDDOWN(ROUNDDOWN(ROUND(L52*VLOOKUP(K52,【参考】数式用２!$A$2:$AC$48,MATCH("処遇改善加算Ⅳ",【参考】数式用２!$C$4:$O$4,0)+2,0),0)*M52,0)*AB52*0.5,0), "")</f>
        <v>2647350</v>
      </c>
      <c r="AF52" s="1125" t="s">
        <v>47</v>
      </c>
      <c r="AG52" s="1059" t="str">
        <f>IF(AND(AQ52&lt;&gt;"対象外", P52&lt;&gt;""),ROUNDDOWN(ROUND(L52*VLOOKUP(K52,【参考】数式用２!$A$2:$K$48,MATCH("ベア加算あり",【参考】数式用２!$C$4:$K$4,0)+2,0),0)*M52,0)*AB52,"")</f>
        <v/>
      </c>
      <c r="AH52" s="1128"/>
      <c r="AI52" s="1125" t="s">
        <v>47</v>
      </c>
      <c r="AJ52" s="1125" t="s">
        <v>481</v>
      </c>
      <c r="AK52" s="1131">
        <v>1</v>
      </c>
      <c r="AL52" s="1134" t="s">
        <v>489</v>
      </c>
      <c r="AM52" s="690" t="str">
        <f t="shared" ref="AM52" si="27">IF(Q52="","",IF(Q52&lt;O52,"！加算の要件上は問題ありませんが、令和６年度末の加算率と比較して、令和７年度の加算率が低くなっています。",""))</f>
        <v/>
      </c>
      <c r="AN52" s="385"/>
      <c r="AO52" s="1120" t="str">
        <f>IF(K52&lt;&gt;"","Q列に色付け","")</f>
        <v>Q列に色付け</v>
      </c>
      <c r="AP52" s="1137" t="str">
        <f>IF(AND(AE52&lt;&gt;0,AE52&lt;&gt;""),IF(AF52="○","入力済","未入力"),"")</f>
        <v>入力済</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対象</v>
      </c>
      <c r="AV52" s="838">
        <f>IF(AND(P52&lt;&gt;"処遇改善加算Ⅲ",P52&lt;&gt;"処遇改善加算Ⅳ", P52&lt;&gt;"", AU52&lt;&gt;"対象外"), 1,"")</f>
        <v>1</v>
      </c>
      <c r="AW52" s="838" t="str">
        <f>IFERROR("_"&amp;VLOOKUP(K52, 【参考】数式用２!$AG$2:$AH$48, 2, FALSE), "")</f>
        <v>_16</v>
      </c>
      <c r="AX52" s="1138" t="str">
        <f>IF(AND(P52="処遇改善加算Ⅰ", AL52=""), "未入力","入力済")</f>
        <v>入力済</v>
      </c>
      <c r="AY52" s="1120" t="str">
        <f>G52</f>
        <v>東京都</v>
      </c>
      <c r="AZ52"/>
      <c r="BA52"/>
      <c r="BB52"/>
      <c r="BC52"/>
      <c r="BD52"/>
      <c r="BE52"/>
      <c r="BF52"/>
      <c r="BG52"/>
    </row>
    <row r="53" spans="1:59" ht="14.4">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4">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1111111118</v>
      </c>
      <c r="C56" s="1105"/>
      <c r="D56" s="1105"/>
      <c r="E56" s="1105"/>
      <c r="F56" s="1105"/>
      <c r="G56" s="1105" t="str">
        <f>IF(基本情報入力シート!L51="", "",基本情報入力シート!L51)</f>
        <v>東京都</v>
      </c>
      <c r="H56" s="1105" t="str">
        <f>IF(基本情報入力シート!Q51="", "",基本情報入力シート!Q51)</f>
        <v>東京都</v>
      </c>
      <c r="I56" s="1105" t="str">
        <f>IF(基本情報入力シート!V51="", "",基本情報入力シート!V51)</f>
        <v>千代田区</v>
      </c>
      <c r="J56" s="1105" t="str">
        <f>IF(基本情報入力シート!W51="", "",基本情報入力シート!W51)</f>
        <v>○○リハ</v>
      </c>
      <c r="K56" s="1105" t="str">
        <f>IF(基本情報入力シート!X51="", "",基本情報入力シート!X51)</f>
        <v>介護予防通所リハビリテーション</v>
      </c>
      <c r="L56" s="1110">
        <f>IF(基本情報入力シート!AC51=0, "",基本情報入力シート!AC51)</f>
        <v>750000</v>
      </c>
      <c r="M56" s="1113">
        <f>IF(基本情報入力シート!AD51="", "",基本情報入力シート!AD51)</f>
        <v>11.1</v>
      </c>
      <c r="N56" s="1071" t="s">
        <v>495</v>
      </c>
      <c r="O56" s="1056">
        <f>IFERROR(VLOOKUP(K56,【参考】数式用２!$A$2:$AD$48,MATCH(N56,【参考】数式用２!$C$4:$AD$4,0)+2,0),"")</f>
        <v>5.6000000000000001E-2</v>
      </c>
      <c r="P56" s="1139" t="s">
        <v>476</v>
      </c>
      <c r="Q56" s="1142">
        <f>IFERROR(VLOOKUP(K56,【参考】数式用２!$A$2:$AC$48,MATCH(P56,【参考】数式用２!$C$4:$AC$4,0)+2,0),"")</f>
        <v>8.5999999999999993E-2</v>
      </c>
      <c r="R56" s="1145" t="s">
        <v>388</v>
      </c>
      <c r="S56" s="1148">
        <v>7</v>
      </c>
      <c r="T56" s="1065" t="s">
        <v>477</v>
      </c>
      <c r="U56" s="1148">
        <v>4</v>
      </c>
      <c r="V56" s="1065" t="s">
        <v>478</v>
      </c>
      <c r="W56" s="1148">
        <v>8</v>
      </c>
      <c r="X56" s="1065" t="s">
        <v>477</v>
      </c>
      <c r="Y56" s="1148">
        <v>3</v>
      </c>
      <c r="Z56" s="1065" t="s">
        <v>479</v>
      </c>
      <c r="AA56" s="1065" t="s">
        <v>291</v>
      </c>
      <c r="AB56" s="1065">
        <f>IF(S56&gt;=1,(W56*12+Y56)-(S56*12+U56)+1,"")</f>
        <v>12</v>
      </c>
      <c r="AC56" s="1068" t="s">
        <v>480</v>
      </c>
      <c r="AD56" s="1059">
        <f>IFERROR(ROUNDDOWN(ROUND(L56*Q56,0)*M56,0)*AB56,"")</f>
        <v>8591400</v>
      </c>
      <c r="AE56" s="1062">
        <f>IFERROR(ROUNDDOWN(ROUNDDOWN(ROUND(L56*VLOOKUP(K56,【参考】数式用２!$A$2:$AC$48,MATCH("処遇改善加算Ⅳ",【参考】数式用２!$C$4:$O$4,0)+2,0),0)*M56,0)*AB56*0.5,0), "")</f>
        <v>2647350</v>
      </c>
      <c r="AF56" s="1125" t="s">
        <v>47</v>
      </c>
      <c r="AG56" s="1059">
        <f>IF(AND(AQ56&lt;&gt;"対象外", P56&lt;&gt;""),ROUNDDOWN(ROUND(L56*VLOOKUP(K56,【参考】数式用２!$A$2:$K$48,MATCH("ベア加算あり",【参考】数式用２!$C$4:$K$4,0)+2,0),0)*M56,0)*AB56,"")</f>
        <v>999000</v>
      </c>
      <c r="AH56" s="1128" t="s">
        <v>47</v>
      </c>
      <c r="AI56" s="1125" t="s">
        <v>47</v>
      </c>
      <c r="AJ56" s="1125" t="s">
        <v>481</v>
      </c>
      <c r="AK56" s="1131"/>
      <c r="AL56" s="1134" t="s">
        <v>489</v>
      </c>
      <c r="AM56" s="690" t="str">
        <f t="shared" ref="AM56" si="30">IF(Q56="","",IF(Q56&lt;O56,"！加算の要件上は問題ありませんが、令和６年度末の加算率と比較して、令和７年度の加算率が低くなっています。",""))</f>
        <v/>
      </c>
      <c r="AN56" s="385"/>
      <c r="AO56" s="1120" t="str">
        <f>IF(K56&lt;&gt;"","Q列に色付け","")</f>
        <v>Q列に色付け</v>
      </c>
      <c r="AP56" s="1137" t="str">
        <f>IF(AND(AE56&lt;&gt;0,AE56&lt;&gt;""),IF(AF56="○","入力済","未入力"),"")</f>
        <v>入力済</v>
      </c>
      <c r="AQ56" s="975" t="str">
        <f>IFERROR((VLOOKUP(N56, 【参考】数式用２!$BE$5:$BE$13, 1,FALSE)), "対象外")</f>
        <v>処遇改善加算Ⅴ（８）</v>
      </c>
      <c r="AR56" s="838" t="str">
        <f>IF(AG56&lt;&gt;"",IF(AH56="○","入力済","未入力"),"")</f>
        <v>入力済</v>
      </c>
      <c r="AS56" s="838" t="str">
        <f>IF(AND(P56&lt;&gt;"", AI56=""), "未入力", "入力済")</f>
        <v>入力済</v>
      </c>
      <c r="AT56" s="838" t="str">
        <f>IF(AND(P56&lt;&gt;"", P56&lt;&gt;"処遇改善加算Ⅳ", AJ56=""), "未入力", "入力済")</f>
        <v>入力済</v>
      </c>
      <c r="AU56" s="838" t="str">
        <f>IFERROR(VLOOKUP(K56, 【参考】数式用２!$BB$5:$BC$48, 2, FALSE), "")</f>
        <v>対象外</v>
      </c>
      <c r="AV56" s="838" t="str">
        <f>IF(AND(P56&lt;&gt;"処遇改善加算Ⅲ",P56&lt;&gt;"処遇改善加算Ⅳ", P56&lt;&gt;"", AU56&lt;&gt;"対象外"), 1,"")</f>
        <v/>
      </c>
      <c r="AW56" s="838" t="str">
        <f>IFERROR("_"&amp;VLOOKUP(K56, 【参考】数式用２!$AG$2:$AH$48, 2, FALSE), "")</f>
        <v>_66</v>
      </c>
      <c r="AX56" s="1138" t="str">
        <f>IF(AND(P56="処遇改善加算Ⅰ", AL56=""), "未入力","入力済")</f>
        <v>入力済</v>
      </c>
      <c r="AY56" s="1120" t="str">
        <f>G56</f>
        <v>東京都</v>
      </c>
      <c r="AZ56"/>
      <c r="BA56"/>
      <c r="BB56"/>
      <c r="BC56"/>
      <c r="BD56"/>
      <c r="BE56"/>
      <c r="BF56"/>
      <c r="BG56"/>
    </row>
    <row r="57" spans="1:59" ht="14.4">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4">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1111111119</v>
      </c>
      <c r="C60" s="1105"/>
      <c r="D60" s="1105"/>
      <c r="E60" s="1105"/>
      <c r="F60" s="1105"/>
      <c r="G60" s="1105" t="str">
        <f>IF(基本情報入力シート!L52="", "",基本情報入力シート!L52)</f>
        <v>東京都</v>
      </c>
      <c r="H60" s="1105" t="str">
        <f>IF(基本情報入力シート!Q52="", "",基本情報入力シート!Q52)</f>
        <v>東京都</v>
      </c>
      <c r="I60" s="1105" t="str">
        <f>IF(基本情報入力シート!V52="", "",基本情報入力シート!V52)</f>
        <v>千代田区</v>
      </c>
      <c r="J60" s="1105" t="str">
        <f>IF(基本情報入力シート!W52="", "",基本情報入力シート!W52)</f>
        <v>○○の杜</v>
      </c>
      <c r="K60" s="1105" t="str">
        <f>IF(基本情報入力シート!X52="", "",基本情報入力シート!X52)</f>
        <v>特定施設入居者生活介護</v>
      </c>
      <c r="L60" s="1110">
        <f>IF(基本情報入力シート!AC52=0, "",基本情報入力シート!AC52)</f>
        <v>750000</v>
      </c>
      <c r="M60" s="1113">
        <f>IF(基本情報入力シート!AD52="", "",基本情報入力シート!AD52)</f>
        <v>10.9</v>
      </c>
      <c r="N60" s="1071" t="s">
        <v>496</v>
      </c>
      <c r="O60" s="1056">
        <f>IFERROR(VLOOKUP(K60,【参考】数式用２!$A$2:$AD$48,MATCH(N60,【参考】数式用２!$C$4:$AD$4,0)+2,0),"")</f>
        <v>7.2999999999999995E-2</v>
      </c>
      <c r="P60" s="1139" t="s">
        <v>476</v>
      </c>
      <c r="Q60" s="1142">
        <f>IFERROR(VLOOKUP(K60,【参考】数式用２!$A$2:$AC$48,MATCH(P60,【参考】数式用２!$C$4:$AC$4,0)+2,0),"")</f>
        <v>0.128</v>
      </c>
      <c r="R60" s="1145" t="s">
        <v>388</v>
      </c>
      <c r="S60" s="1148">
        <v>7</v>
      </c>
      <c r="T60" s="1065" t="s">
        <v>477</v>
      </c>
      <c r="U60" s="1148">
        <v>4</v>
      </c>
      <c r="V60" s="1065" t="s">
        <v>478</v>
      </c>
      <c r="W60" s="1148">
        <v>8</v>
      </c>
      <c r="X60" s="1065" t="s">
        <v>477</v>
      </c>
      <c r="Y60" s="1148">
        <v>3</v>
      </c>
      <c r="Z60" s="1065" t="s">
        <v>479</v>
      </c>
      <c r="AA60" s="1065" t="s">
        <v>291</v>
      </c>
      <c r="AB60" s="1065">
        <f>IF(S60&gt;=1,(W60*12+Y60)-(S60*12+U60)+1,"")</f>
        <v>12</v>
      </c>
      <c r="AC60" s="1068" t="s">
        <v>480</v>
      </c>
      <c r="AD60" s="1059">
        <f>IFERROR(ROUNDDOWN(ROUND(L60*Q60,0)*M60,0)*AB60,"")</f>
        <v>12556800</v>
      </c>
      <c r="AE60" s="1062">
        <f>IFERROR(ROUNDDOWN(ROUNDDOWN(ROUND(L60*VLOOKUP(K60,【参考】数式用２!$A$2:$AC$48,MATCH("処遇改善加算Ⅳ",【参考】数式用２!$C$4:$O$4,0)+2,0),0)*M60,0)*AB60*0.5,0), "")</f>
        <v>4316400</v>
      </c>
      <c r="AF60" s="1125" t="s">
        <v>47</v>
      </c>
      <c r="AG60" s="1059" t="str">
        <f>IF(AND(AQ60&lt;&gt;"対象外", P60&lt;&gt;""),ROUNDDOWN(ROUND(L60*VLOOKUP(K60,【参考】数式用２!$A$2:$K$48,MATCH("ベア加算あり",【参考】数式用２!$C$4:$K$4,0)+2,0),0)*M60,0)*AB60,"")</f>
        <v/>
      </c>
      <c r="AH60" s="1128"/>
      <c r="AI60" s="1125" t="s">
        <v>481</v>
      </c>
      <c r="AJ60" s="1125" t="s">
        <v>47</v>
      </c>
      <c r="AK60" s="1131">
        <v>1</v>
      </c>
      <c r="AL60" s="1134" t="s">
        <v>489</v>
      </c>
      <c r="AM60" s="690" t="str">
        <f t="shared" ref="AM60" si="33">IF(Q60="","",IF(Q60&lt;O60,"！加算の要件上は問題ありませんが、令和６年度末の加算率と比較して、令和７年度の加算率が低くなっています。",""))</f>
        <v/>
      </c>
      <c r="AN60" s="385"/>
      <c r="AO60" s="1120" t="str">
        <f>IF(K60&lt;&gt;"","Q列に色付け","")</f>
        <v>Q列に色付け</v>
      </c>
      <c r="AP60" s="1137" t="str">
        <f>IF(AND(AE60&lt;&gt;0,AE60&lt;&gt;""),IF(AF60="○","入力済","未入力"),"")</f>
        <v>入力済</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対象</v>
      </c>
      <c r="AV60" s="838">
        <f>IF(AND(P60&lt;&gt;"処遇改善加算Ⅲ",P60&lt;&gt;"処遇改善加算Ⅳ", P60&lt;&gt;"", AU60&lt;&gt;"対象外"), 1,"")</f>
        <v>1</v>
      </c>
      <c r="AW60" s="838" t="str">
        <f>IFERROR("_"&amp;VLOOKUP(K60, 【参考】数式用２!$AG$2:$AH$48, 2, FALSE), "")</f>
        <v>_33</v>
      </c>
      <c r="AX60" s="1138" t="str">
        <f>IF(AND(P60="処遇改善加算Ⅰ", AL60=""), "未入力","入力済")</f>
        <v>入力済</v>
      </c>
      <c r="AY60" s="1120" t="str">
        <f>G60</f>
        <v>東京都</v>
      </c>
      <c r="AZ60"/>
      <c r="BA60"/>
      <c r="BB60"/>
      <c r="BC60"/>
      <c r="BD60"/>
      <c r="BE60"/>
      <c r="BF60"/>
      <c r="BG60"/>
    </row>
    <row r="61" spans="1:59" ht="14.4">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4">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1111111120</v>
      </c>
      <c r="C64" s="1105"/>
      <c r="D64" s="1105"/>
      <c r="E64" s="1105"/>
      <c r="F64" s="1105"/>
      <c r="G64" s="1105" t="str">
        <f>IF(基本情報入力シート!L53="", "",基本情報入力シート!L53)</f>
        <v>東京都</v>
      </c>
      <c r="H64" s="1105" t="str">
        <f>IF(基本情報入力シート!Q53="", "",基本情報入力シート!Q53)</f>
        <v>東京都</v>
      </c>
      <c r="I64" s="1105" t="str">
        <f>IF(基本情報入力シート!V53="", "",基本情報入力シート!V53)</f>
        <v>千代田区</v>
      </c>
      <c r="J64" s="1105" t="str">
        <f>IF(基本情報入力シート!W53="", "",基本情報入力シート!W53)</f>
        <v>○○の杜</v>
      </c>
      <c r="K64" s="1105" t="str">
        <f>IF(基本情報入力シート!X53="", "",基本情報入力シート!X53)</f>
        <v>特定施設入居者生活介護（短期利用型）</v>
      </c>
      <c r="L64" s="1110">
        <f>IF(基本情報入力シート!AC53=0, "",基本情報入力シート!AC53)</f>
        <v>750000</v>
      </c>
      <c r="M64" s="1113">
        <f>IF(基本情報入力シート!AD53="", "",基本情報入力シート!AD53)</f>
        <v>10.9</v>
      </c>
      <c r="N64" s="1071" t="s">
        <v>497</v>
      </c>
      <c r="O64" s="1056">
        <f>IFERROR(VLOOKUP(K64,【参考】数式用２!$A$2:$AD$48,MATCH(N64,【参考】数式用２!$C$4:$AD$4,0)+2,0),"")</f>
        <v>6.4000000000000001E-2</v>
      </c>
      <c r="P64" s="1139" t="s">
        <v>476</v>
      </c>
      <c r="Q64" s="1142">
        <f>IFERROR(VLOOKUP(K64,【参考】数式用２!$A$2:$AC$48,MATCH(P64,【参考】数式用２!$C$4:$AC$4,0)+2,0),"")</f>
        <v>0.128</v>
      </c>
      <c r="R64" s="1145" t="s">
        <v>388</v>
      </c>
      <c r="S64" s="1148">
        <v>7</v>
      </c>
      <c r="T64" s="1065" t="s">
        <v>477</v>
      </c>
      <c r="U64" s="1148">
        <v>4</v>
      </c>
      <c r="V64" s="1065" t="s">
        <v>478</v>
      </c>
      <c r="W64" s="1148">
        <v>8</v>
      </c>
      <c r="X64" s="1065" t="s">
        <v>477</v>
      </c>
      <c r="Y64" s="1148">
        <v>3</v>
      </c>
      <c r="Z64" s="1065" t="s">
        <v>479</v>
      </c>
      <c r="AA64" s="1065" t="s">
        <v>291</v>
      </c>
      <c r="AB64" s="1065">
        <f>IF(S64&gt;=1,(W64*12+Y64)-(S64*12+U64)+1,"")</f>
        <v>12</v>
      </c>
      <c r="AC64" s="1068" t="s">
        <v>480</v>
      </c>
      <c r="AD64" s="1059">
        <f>IFERROR(ROUNDDOWN(ROUND(L64*Q64,0)*M64,0)*AB64,"")</f>
        <v>12556800</v>
      </c>
      <c r="AE64" s="1062">
        <f>IFERROR(ROUNDDOWN(ROUNDDOWN(ROUND(L64*VLOOKUP(K64,【参考】数式用２!$A$2:$AC$48,MATCH("処遇改善加算Ⅳ",【参考】数式用２!$C$4:$O$4,0)+2,0),0)*M64,0)*AB64*0.5,0), "")</f>
        <v>4316400</v>
      </c>
      <c r="AF64" s="1125" t="s">
        <v>47</v>
      </c>
      <c r="AG64" s="1059">
        <f>IF(AND(AQ64&lt;&gt;"対象外", P64&lt;&gt;""),ROUNDDOWN(ROUND(L64*VLOOKUP(K64,【参考】数式用２!$A$2:$K$48,MATCH("ベア加算あり",【参考】数式用２!$C$4:$K$4,0)+2,0),0)*M64,0)*AB64,"")</f>
        <v>1471500</v>
      </c>
      <c r="AH64" s="1128" t="s">
        <v>47</v>
      </c>
      <c r="AI64" s="1125" t="s">
        <v>481</v>
      </c>
      <c r="AJ64" s="1125" t="s">
        <v>481</v>
      </c>
      <c r="AK64" s="1131"/>
      <c r="AL64" s="1134" t="s">
        <v>489</v>
      </c>
      <c r="AM64" s="690" t="str">
        <f t="shared" ref="AM64" si="36">IF(Q64="","",IF(Q64&lt;O64,"！加算の要件上は問題ありませんが、令和６年度末の加算率と比較して、令和７年度の加算率が低くなっています。",""))</f>
        <v/>
      </c>
      <c r="AN64" s="385"/>
      <c r="AO64" s="1120" t="str">
        <f>IF(K64&lt;&gt;"","Q列に色付け","")</f>
        <v>Q列に色付け</v>
      </c>
      <c r="AP64" s="1137" t="str">
        <f>IF(AND(AE64&lt;&gt;0,AE64&lt;&gt;""),IF(AF64="○","入力済","未入力"),"")</f>
        <v>入力済</v>
      </c>
      <c r="AQ64" s="975" t="str">
        <f>IFERROR((VLOOKUP(N64, 【参考】数式用２!$BE$5:$BE$13, 1,FALSE)), "対象外")</f>
        <v>処遇改善加算Ⅴ（10）</v>
      </c>
      <c r="AR64" s="838" t="str">
        <f>IF(AG64&lt;&gt;"",IF(AH64="○","入力済","未入力"),"")</f>
        <v>入力済</v>
      </c>
      <c r="AS64" s="838" t="str">
        <f>IF(AND(P64&lt;&gt;"", AI64=""), "未入力", "入力済")</f>
        <v>入力済</v>
      </c>
      <c r="AT64" s="838" t="str">
        <f>IF(AND(P64&lt;&gt;"", P64&lt;&gt;"処遇改善加算Ⅳ", AJ64=""), "未入力", "入力済")</f>
        <v>入力済</v>
      </c>
      <c r="AU64" s="838" t="str">
        <f>IFERROR(VLOOKUP(K64, 【参考】数式用２!$BB$5:$BC$48, 2, FALSE), "")</f>
        <v>対象外</v>
      </c>
      <c r="AV64" s="838" t="str">
        <f>IF(AND(P64&lt;&gt;"処遇改善加算Ⅲ",P64&lt;&gt;"処遇改善加算Ⅳ", P64&lt;&gt;"", AU64&lt;&gt;"対象外"), 1,"")</f>
        <v/>
      </c>
      <c r="AW64" s="838" t="str">
        <f>IFERROR("_"&amp;VLOOKUP(K64, 【参考】数式用２!$AG$2:$AH$48, 2, FALSE), "")</f>
        <v>_27</v>
      </c>
      <c r="AX64" s="1138" t="str">
        <f>IF(AND(P64="処遇改善加算Ⅰ", AL64=""), "未入力","入力済")</f>
        <v>入力済</v>
      </c>
      <c r="AY64" s="1120" t="str">
        <f>G64</f>
        <v>東京都</v>
      </c>
      <c r="AZ64"/>
      <c r="BA64"/>
      <c r="BB64"/>
      <c r="BC64"/>
      <c r="BD64"/>
      <c r="BE64"/>
      <c r="BF64"/>
      <c r="BG64"/>
    </row>
    <row r="65" spans="1:59" ht="14.4">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4">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1111111121</v>
      </c>
      <c r="C68" s="1105"/>
      <c r="D68" s="1105"/>
      <c r="E68" s="1105"/>
      <c r="F68" s="1105"/>
      <c r="G68" s="1105" t="str">
        <f>IF(基本情報入力シート!L54="", "",基本情報入力シート!L54)</f>
        <v>東京都</v>
      </c>
      <c r="H68" s="1105" t="str">
        <f>IF(基本情報入力シート!Q54="", "",基本情報入力シート!Q54)</f>
        <v>東京都</v>
      </c>
      <c r="I68" s="1105" t="str">
        <f>IF(基本情報入力シート!V54="", "",基本情報入力シート!V54)</f>
        <v>千代田区</v>
      </c>
      <c r="J68" s="1105" t="str">
        <f>IF(基本情報入力シート!W54="", "",基本情報入力シート!W54)</f>
        <v>○○の杜</v>
      </c>
      <c r="K68" s="1105" t="str">
        <f>IF(基本情報入力シート!X54="", "",基本情報入力シート!X54)</f>
        <v>介護予防特定施設入居者生活介護</v>
      </c>
      <c r="L68" s="1110">
        <f>IF(基本情報入力シート!AC54=0, "",基本情報入力シート!AC54)</f>
        <v>750000</v>
      </c>
      <c r="M68" s="1113">
        <f>IF(基本情報入力シート!AD54="", "",基本情報入力シート!AD54)</f>
        <v>10.9</v>
      </c>
      <c r="N68" s="1071" t="s">
        <v>498</v>
      </c>
      <c r="O68" s="1056">
        <f>IFERROR(VLOOKUP(K68,【参考】数式用２!$A$2:$AD$48,MATCH(N68,【参考】数式用２!$C$4:$AD$4,0)+2,0),"")</f>
        <v>7.2999999999999995E-2</v>
      </c>
      <c r="P68" s="1139" t="s">
        <v>476</v>
      </c>
      <c r="Q68" s="1142">
        <f>IFERROR(VLOOKUP(K68,【参考】数式用２!$A$2:$AC$48,MATCH(P68,【参考】数式用２!$C$4:$AC$4,0)+2,0),"")</f>
        <v>0.128</v>
      </c>
      <c r="R68" s="1145" t="s">
        <v>388</v>
      </c>
      <c r="S68" s="1148">
        <v>7</v>
      </c>
      <c r="T68" s="1065" t="s">
        <v>477</v>
      </c>
      <c r="U68" s="1148">
        <v>4</v>
      </c>
      <c r="V68" s="1065" t="s">
        <v>478</v>
      </c>
      <c r="W68" s="1148">
        <v>8</v>
      </c>
      <c r="X68" s="1065" t="s">
        <v>477</v>
      </c>
      <c r="Y68" s="1148">
        <v>3</v>
      </c>
      <c r="Z68" s="1065" t="s">
        <v>479</v>
      </c>
      <c r="AA68" s="1065" t="s">
        <v>291</v>
      </c>
      <c r="AB68" s="1065">
        <f>IF(S68&gt;=1,(W68*12+Y68)-(S68*12+U68)+1,"")</f>
        <v>12</v>
      </c>
      <c r="AC68" s="1068" t="s">
        <v>480</v>
      </c>
      <c r="AD68" s="1059">
        <f>IFERROR(ROUNDDOWN(ROUND(L68*Q68,0)*M68,0)*AB68,"")</f>
        <v>12556800</v>
      </c>
      <c r="AE68" s="1062">
        <f>IFERROR(ROUNDDOWN(ROUNDDOWN(ROUND(L68*VLOOKUP(K68,【参考】数式用２!$A$2:$AC$48,MATCH("処遇改善加算Ⅳ",【参考】数式用２!$C$4:$O$4,0)+2,0),0)*M68,0)*AB68*0.5,0), "")</f>
        <v>4316400</v>
      </c>
      <c r="AF68" s="1125" t="s">
        <v>47</v>
      </c>
      <c r="AG68" s="1059">
        <f>IF(AND(AQ68&lt;&gt;"対象外", P68&lt;&gt;""),ROUNDDOWN(ROUND(L68*VLOOKUP(K68,【参考】数式用２!$A$2:$K$48,MATCH("ベア加算あり",【参考】数式用２!$C$4:$K$4,0)+2,0),0)*M68,0)*AB68,"")</f>
        <v>1471500</v>
      </c>
      <c r="AH68" s="1128" t="s">
        <v>47</v>
      </c>
      <c r="AI68" s="1125" t="s">
        <v>47</v>
      </c>
      <c r="AJ68" s="1125" t="s">
        <v>481</v>
      </c>
      <c r="AK68" s="1131"/>
      <c r="AL68" s="1134" t="s">
        <v>489</v>
      </c>
      <c r="AM68" s="690" t="str">
        <f t="shared" ref="AM68" si="39">IF(Q68="","",IF(Q68&lt;O68,"！加算の要件上は問題ありませんが、令和６年度末の加算率と比較して、令和７年度の加算率が低くなっています。",""))</f>
        <v/>
      </c>
      <c r="AN68" s="385"/>
      <c r="AO68" s="1120" t="str">
        <f>IF(K68&lt;&gt;"","Q列に色付け","")</f>
        <v>Q列に色付け</v>
      </c>
      <c r="AP68" s="1137" t="str">
        <f>IF(AND(AE68&lt;&gt;0,AE68&lt;&gt;""),IF(AF68="○","入力済","未入力"),"")</f>
        <v>入力済</v>
      </c>
      <c r="AQ68" s="975" t="str">
        <f>IFERROR((VLOOKUP(N68, 【参考】数式用２!$BE$5:$BE$13, 1,FALSE)), "対象外")</f>
        <v>処遇改善加算Ⅴ（11）</v>
      </c>
      <c r="AR68" s="838" t="str">
        <f>IF(AG68&lt;&gt;"",IF(AH68="○","入力済","未入力"),"")</f>
        <v>入力済</v>
      </c>
      <c r="AS68" s="838" t="str">
        <f>IF(AND(P68&lt;&gt;"", AI68=""), "未入力", "入力済")</f>
        <v>入力済</v>
      </c>
      <c r="AT68" s="838" t="str">
        <f>IF(AND(P68&lt;&gt;"", P68&lt;&gt;"処遇改善加算Ⅳ", AJ68=""), "未入力", "入力済")</f>
        <v>入力済</v>
      </c>
      <c r="AU68" s="838" t="str">
        <f>IFERROR(VLOOKUP(K68, 【参考】数式用２!$BB$5:$BC$48, 2, FALSE), "")</f>
        <v>対象外</v>
      </c>
      <c r="AV68" s="838" t="str">
        <f>IF(AND(P68&lt;&gt;"処遇改善加算Ⅲ",P68&lt;&gt;"処遇改善加算Ⅳ", P68&lt;&gt;"", AU68&lt;&gt;"対象外"), 1,"")</f>
        <v/>
      </c>
      <c r="AW68" s="838" t="str">
        <f>IFERROR("_"&amp;VLOOKUP(K68, 【参考】数式用２!$AG$2:$AH$48, 2, FALSE), "")</f>
        <v>_35</v>
      </c>
      <c r="AX68" s="1138" t="str">
        <f>IF(AND(P68="処遇改善加算Ⅰ", AL68=""), "未入力","入力済")</f>
        <v>入力済</v>
      </c>
      <c r="AY68" s="1120" t="str">
        <f>G68</f>
        <v>東京都</v>
      </c>
      <c r="AZ68"/>
      <c r="BA68"/>
      <c r="BB68"/>
      <c r="BC68"/>
      <c r="BD68"/>
      <c r="BE68"/>
      <c r="BF68"/>
      <c r="BG68"/>
    </row>
    <row r="69" spans="1:59" ht="14.4">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4">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1111111122</v>
      </c>
      <c r="C72" s="1105"/>
      <c r="D72" s="1105"/>
      <c r="E72" s="1105"/>
      <c r="F72" s="1105"/>
      <c r="G72" s="1105" t="str">
        <f>IF(基本情報入力シート!L55="", "",基本情報入力シート!L55)</f>
        <v>千代田区</v>
      </c>
      <c r="H72" s="1105" t="str">
        <f>IF(基本情報入力シート!Q55="", "",基本情報入力シート!Q55)</f>
        <v>東京都</v>
      </c>
      <c r="I72" s="1105" t="str">
        <f>IF(基本情報入力シート!V55="", "",基本情報入力シート!V55)</f>
        <v>千代田区</v>
      </c>
      <c r="J72" s="1105" t="str">
        <f>IF(基本情報入力シート!W55="", "",基本情報入力シート!W55)</f>
        <v>○○の杜</v>
      </c>
      <c r="K72" s="1105" t="str">
        <f>IF(基本情報入力シート!X55="", "",基本情報入力シート!X55)</f>
        <v>地域密着型特定施設入居者生活介護</v>
      </c>
      <c r="L72" s="1110">
        <f>IF(基本情報入力シート!AC55=0, "",基本情報入力シート!AC55)</f>
        <v>750000</v>
      </c>
      <c r="M72" s="1113">
        <f>IF(基本情報入力シート!AD55="", "",基本情報入力シート!AD55)</f>
        <v>10.9</v>
      </c>
      <c r="N72" s="1071" t="s">
        <v>499</v>
      </c>
      <c r="O72" s="1056">
        <f>IFERROR(VLOOKUP(K72,【参考】数式用２!$A$2:$AD$48,MATCH(N72,【参考】数式用２!$C$4:$AD$4,0)+2,0),"")</f>
        <v>5.7999999999999996E-2</v>
      </c>
      <c r="P72" s="1139" t="s">
        <v>476</v>
      </c>
      <c r="Q72" s="1142">
        <f>IFERROR(VLOOKUP(K72,【参考】数式用２!$A$2:$AC$48,MATCH(P72,【参考】数式用２!$C$4:$AC$4,0)+2,0),"")</f>
        <v>0.128</v>
      </c>
      <c r="R72" s="1145" t="s">
        <v>388</v>
      </c>
      <c r="S72" s="1148">
        <v>7</v>
      </c>
      <c r="T72" s="1065" t="s">
        <v>477</v>
      </c>
      <c r="U72" s="1148">
        <v>4</v>
      </c>
      <c r="V72" s="1065" t="s">
        <v>478</v>
      </c>
      <c r="W72" s="1148">
        <v>8</v>
      </c>
      <c r="X72" s="1065" t="s">
        <v>477</v>
      </c>
      <c r="Y72" s="1148">
        <v>3</v>
      </c>
      <c r="Z72" s="1065" t="s">
        <v>479</v>
      </c>
      <c r="AA72" s="1065" t="s">
        <v>291</v>
      </c>
      <c r="AB72" s="1065">
        <f>IF(S72&gt;=1,(W72*12+Y72)-(S72*12+U72)+1,"")</f>
        <v>12</v>
      </c>
      <c r="AC72" s="1068" t="s">
        <v>480</v>
      </c>
      <c r="AD72" s="1059">
        <f>IFERROR(ROUNDDOWN(ROUND(L72*Q72,0)*M72,0)*AB72,"")</f>
        <v>12556800</v>
      </c>
      <c r="AE72" s="1062">
        <f>IFERROR(ROUNDDOWN(ROUNDDOWN(ROUND(L72*VLOOKUP(K72,【参考】数式用２!$A$2:$AC$48,MATCH("処遇改善加算Ⅳ",【参考】数式用２!$C$4:$O$4,0)+2,0),0)*M72,0)*AB72*0.5,0), "")</f>
        <v>4316400</v>
      </c>
      <c r="AF72" s="1125" t="s">
        <v>47</v>
      </c>
      <c r="AG72" s="1059">
        <f>IF(AND(AQ72&lt;&gt;"対象外", P72&lt;&gt;""),ROUNDDOWN(ROUND(L72*VLOOKUP(K72,【参考】数式用２!$A$2:$K$48,MATCH("ベア加算あり",【参考】数式用２!$C$4:$K$4,0)+2,0),0)*M72,0)*AB72,"")</f>
        <v>1471500</v>
      </c>
      <c r="AH72" s="1128" t="s">
        <v>47</v>
      </c>
      <c r="AI72" s="1125" t="s">
        <v>47</v>
      </c>
      <c r="AJ72" s="1125" t="s">
        <v>47</v>
      </c>
      <c r="AK72" s="1131">
        <v>1</v>
      </c>
      <c r="AL72" s="1134" t="s">
        <v>489</v>
      </c>
      <c r="AM72" s="690" t="str">
        <f t="shared" ref="AM72" si="42">IF(Q72="","",IF(Q72&lt;O72,"！加算の要件上は問題ありませんが、令和６年度末の加算率と比較して、令和７年度の加算率が低くなっています。",""))</f>
        <v/>
      </c>
      <c r="AN72" s="385"/>
      <c r="AO72" s="1120" t="str">
        <f>IF(K72&lt;&gt;"","Q列に色付け","")</f>
        <v>Q列に色付け</v>
      </c>
      <c r="AP72" s="1137" t="str">
        <f>IF(AND(AE72&lt;&gt;0,AE72&lt;&gt;""),IF(AF72="○","入力済","未入力"),"")</f>
        <v>入力済</v>
      </c>
      <c r="AQ72" s="975" t="str">
        <f>IFERROR((VLOOKUP(N72, 【参考】数式用２!$BE$5:$BE$13, 1,FALSE)), "対象外")</f>
        <v>処遇改善加算Ⅴ（12）</v>
      </c>
      <c r="AR72" s="838" t="str">
        <f>IF(AG72&lt;&gt;"",IF(AH72="○","入力済","未入力"),"")</f>
        <v>入力済</v>
      </c>
      <c r="AS72" s="838" t="str">
        <f>IF(AND(P72&lt;&gt;"", AI72=""), "未入力", "入力済")</f>
        <v>入力済</v>
      </c>
      <c r="AT72" s="838" t="str">
        <f>IF(AND(P72&lt;&gt;"", P72&lt;&gt;"処遇改善加算Ⅳ", AJ72=""), "未入力", "入力済")</f>
        <v>入力済</v>
      </c>
      <c r="AU72" s="838" t="str">
        <f>IFERROR(VLOOKUP(K72, 【参考】数式用２!$BB$5:$BC$48, 2, FALSE), "")</f>
        <v>対象</v>
      </c>
      <c r="AV72" s="838">
        <f>IF(AND(P72&lt;&gt;"処遇改善加算Ⅲ",P72&lt;&gt;"処遇改善加算Ⅳ", P72&lt;&gt;"", AU72&lt;&gt;"対象外"), 1,"")</f>
        <v>1</v>
      </c>
      <c r="AW72" s="838" t="str">
        <f>IFERROR("_"&amp;VLOOKUP(K72, 【参考】数式用２!$AG$2:$AH$48, 2, FALSE), "")</f>
        <v>_36</v>
      </c>
      <c r="AX72" s="1138" t="str">
        <f>IF(AND(P72="処遇改善加算Ⅰ", AL72=""), "未入力","入力済")</f>
        <v>入力済</v>
      </c>
      <c r="AY72" s="1120" t="str">
        <f>G72</f>
        <v>千代田区</v>
      </c>
      <c r="AZ72"/>
      <c r="BA72"/>
      <c r="BB72"/>
      <c r="BC72"/>
      <c r="BD72"/>
      <c r="BE72"/>
      <c r="BF72"/>
      <c r="BG72"/>
    </row>
    <row r="73" spans="1:59" ht="14.4">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4">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1111111123</v>
      </c>
      <c r="C76" s="1105"/>
      <c r="D76" s="1105"/>
      <c r="E76" s="1105"/>
      <c r="F76" s="1105"/>
      <c r="G76" s="1105" t="str">
        <f>IF(基本情報入力シート!L56="", "",基本情報入力シート!L56)</f>
        <v>千代田区</v>
      </c>
      <c r="H76" s="1105" t="str">
        <f>IF(基本情報入力シート!Q56="", "",基本情報入力シート!Q56)</f>
        <v>東京都</v>
      </c>
      <c r="I76" s="1105" t="str">
        <f>IF(基本情報入力シート!V56="", "",基本情報入力シート!V56)</f>
        <v>千代田区</v>
      </c>
      <c r="J76" s="1105" t="str">
        <f>IF(基本情報入力シート!W56="", "",基本情報入力シート!W56)</f>
        <v>○○の杜</v>
      </c>
      <c r="K76" s="1105" t="str">
        <f>IF(基本情報入力シート!X56="", "",基本情報入力シート!X56)</f>
        <v>地域密着型特定施設入居者生活介護（短期利用型）</v>
      </c>
      <c r="L76" s="1110">
        <f>IF(基本情報入力シート!AC56=0, "",基本情報入力シート!AC56)</f>
        <v>750000</v>
      </c>
      <c r="M76" s="1113">
        <f>IF(基本情報入力シート!AD56="", "",基本情報入力シート!AD56)</f>
        <v>10.9</v>
      </c>
      <c r="N76" s="1071" t="s">
        <v>500</v>
      </c>
      <c r="O76" s="1056">
        <f>IFERROR(VLOOKUP(K76,【参考】数式用２!$A$2:$AD$48,MATCH(N76,【参考】数式用２!$C$4:$AD$4,0)+2,0),"")</f>
        <v>6.0999999999999999E-2</v>
      </c>
      <c r="P76" s="1139" t="s">
        <v>476</v>
      </c>
      <c r="Q76" s="1142">
        <f>IFERROR(VLOOKUP(K76,【参考】数式用２!$A$2:$AC$48,MATCH(P76,【参考】数式用２!$C$4:$AC$4,0)+2,0),"")</f>
        <v>0.128</v>
      </c>
      <c r="R76" s="1145" t="s">
        <v>388</v>
      </c>
      <c r="S76" s="1148">
        <v>7</v>
      </c>
      <c r="T76" s="1065" t="s">
        <v>477</v>
      </c>
      <c r="U76" s="1148">
        <v>4</v>
      </c>
      <c r="V76" s="1065" t="s">
        <v>478</v>
      </c>
      <c r="W76" s="1148">
        <v>8</v>
      </c>
      <c r="X76" s="1065" t="s">
        <v>477</v>
      </c>
      <c r="Y76" s="1148">
        <v>3</v>
      </c>
      <c r="Z76" s="1065" t="s">
        <v>479</v>
      </c>
      <c r="AA76" s="1065" t="s">
        <v>291</v>
      </c>
      <c r="AB76" s="1065">
        <f>IF(S76&gt;=1,(W76*12+Y76)-(S76*12+U76)+1,"")</f>
        <v>12</v>
      </c>
      <c r="AC76" s="1068" t="s">
        <v>480</v>
      </c>
      <c r="AD76" s="1059">
        <f>IFERROR(ROUNDDOWN(ROUND(L76*Q76,0)*M76,0)*AB76,"")</f>
        <v>12556800</v>
      </c>
      <c r="AE76" s="1062">
        <f>IFERROR(ROUNDDOWN(ROUNDDOWN(ROUND(L76*VLOOKUP(K76,【参考】数式用２!$A$2:$AC$48,MATCH("処遇改善加算Ⅳ",【参考】数式用２!$C$4:$O$4,0)+2,0),0)*M76,0)*AB76*0.5,0), "")</f>
        <v>4316400</v>
      </c>
      <c r="AF76" s="1125" t="s">
        <v>47</v>
      </c>
      <c r="AG76" s="1059" t="str">
        <f>IF(AND(AQ76&lt;&gt;"対象外", P76&lt;&gt;""),ROUNDDOWN(ROUND(L76*VLOOKUP(K76,【参考】数式用２!$A$2:$K$48,MATCH("ベア加算あり",【参考】数式用２!$C$4:$K$4,0)+2,0),0)*M76,0)*AB76,"")</f>
        <v/>
      </c>
      <c r="AH76" s="1128"/>
      <c r="AI76" s="1125" t="s">
        <v>481</v>
      </c>
      <c r="AJ76" s="1125" t="s">
        <v>481</v>
      </c>
      <c r="AK76" s="1131"/>
      <c r="AL76" s="1134" t="s">
        <v>489</v>
      </c>
      <c r="AM76" s="690" t="str">
        <f t="shared" ref="AM76" si="45">IF(Q76="","",IF(Q76&lt;O76,"！加算の要件上は問題ありませんが、令和６年度末の加算率と比較して、令和７年度の加算率が低くなっています。",""))</f>
        <v/>
      </c>
      <c r="AN76" s="385"/>
      <c r="AO76" s="1120" t="str">
        <f>IF(K76&lt;&gt;"","Q列に色付け","")</f>
        <v>Q列に色付け</v>
      </c>
      <c r="AP76" s="1137" t="str">
        <f>IF(AND(AE76&lt;&gt;0,AE76&lt;&gt;""),IF(AF76="○","入力済","未入力"),"")</f>
        <v>入力済</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対象外</v>
      </c>
      <c r="AV76" s="838" t="str">
        <f>IF(AND(P76&lt;&gt;"処遇改善加算Ⅲ",P76&lt;&gt;"処遇改善加算Ⅳ", P76&lt;&gt;"", AU76&lt;&gt;"対象外"), 1,"")</f>
        <v/>
      </c>
      <c r="AW76" s="838" t="str">
        <f>IFERROR("_"&amp;VLOOKUP(K76, 【参考】数式用２!$AG$2:$AH$48, 2, FALSE), "")</f>
        <v>_28</v>
      </c>
      <c r="AX76" s="1138" t="str">
        <f>IF(AND(P76="処遇改善加算Ⅰ", AL76=""), "未入力","入力済")</f>
        <v>入力済</v>
      </c>
      <c r="AY76" s="1120" t="str">
        <f>G76</f>
        <v>千代田区</v>
      </c>
      <c r="AZ76"/>
      <c r="BA76"/>
      <c r="BB76"/>
      <c r="BC76"/>
      <c r="BD76"/>
      <c r="BE76"/>
      <c r="BF76"/>
      <c r="BG76"/>
    </row>
    <row r="77" spans="1:59" ht="14.4">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4">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1111111124</v>
      </c>
      <c r="C80" s="1105"/>
      <c r="D80" s="1105"/>
      <c r="E80" s="1105"/>
      <c r="F80" s="1105"/>
      <c r="G80" s="1105" t="str">
        <f>IF(基本情報入力シート!L57="", "",基本情報入力シート!L57)</f>
        <v>千代田区</v>
      </c>
      <c r="H80" s="1105" t="str">
        <f>IF(基本情報入力シート!Q57="", "",基本情報入力シート!Q57)</f>
        <v>東京都</v>
      </c>
      <c r="I80" s="1105" t="str">
        <f>IF(基本情報入力シート!V57="", "",基本情報入力シート!V57)</f>
        <v>千代田区</v>
      </c>
      <c r="J80" s="1105" t="str">
        <f>IF(基本情報入力シート!W57="", "",基本情報入力シート!W57)</f>
        <v>○○デイケア</v>
      </c>
      <c r="K80" s="1105" t="str">
        <f>IF(基本情報入力シート!X57="", "",基本情報入力シート!X57)</f>
        <v>認知症対応型通所介護</v>
      </c>
      <c r="L80" s="1110">
        <f>IF(基本情報入力シート!AC57=0, "",基本情報入力シート!AC57)</f>
        <v>750000</v>
      </c>
      <c r="M80" s="1113">
        <f>IF(基本情報入力シート!AD57="", "",基本情報入力シート!AD57)</f>
        <v>11.1</v>
      </c>
      <c r="N80" s="1071" t="s">
        <v>501</v>
      </c>
      <c r="O80" s="1056">
        <f>IFERROR(VLOOKUP(K80,【参考】数式用２!$A$2:$AD$48,MATCH(N80,【参考】数式用２!$C$4:$AD$4,0)+2,0),"")</f>
        <v>6.5000000000000002E-2</v>
      </c>
      <c r="P80" s="1139" t="s">
        <v>476</v>
      </c>
      <c r="Q80" s="1142">
        <f>IFERROR(VLOOKUP(K80,【参考】数式用２!$A$2:$AC$48,MATCH(P80,【参考】数式用２!$C$4:$AC$4,0)+2,0),"")</f>
        <v>0.18099999999999999</v>
      </c>
      <c r="R80" s="1145" t="s">
        <v>388</v>
      </c>
      <c r="S80" s="1148">
        <v>7</v>
      </c>
      <c r="T80" s="1065" t="s">
        <v>477</v>
      </c>
      <c r="U80" s="1148">
        <v>4</v>
      </c>
      <c r="V80" s="1065" t="s">
        <v>478</v>
      </c>
      <c r="W80" s="1148">
        <v>8</v>
      </c>
      <c r="X80" s="1065" t="s">
        <v>477</v>
      </c>
      <c r="Y80" s="1148">
        <v>3</v>
      </c>
      <c r="Z80" s="1065" t="s">
        <v>479</v>
      </c>
      <c r="AA80" s="1065" t="s">
        <v>291</v>
      </c>
      <c r="AB80" s="1065">
        <f>IF(S80&gt;=1,(W80*12+Y80)-(S80*12+U80)+1,"")</f>
        <v>12</v>
      </c>
      <c r="AC80" s="1068" t="s">
        <v>480</v>
      </c>
      <c r="AD80" s="1059">
        <f>IFERROR(ROUNDDOWN(ROUND(L80*Q80,0)*M80,0)*AB80,"")</f>
        <v>18081900</v>
      </c>
      <c r="AE80" s="1062">
        <f>IFERROR(ROUNDDOWN(ROUNDDOWN(ROUND(L80*VLOOKUP(K80,【参考】数式用２!$A$2:$AC$48,MATCH("処遇改善加算Ⅳ",【参考】数式用２!$C$4:$O$4,0)+2,0),0)*M80,0)*AB80*0.5,0), "")</f>
        <v>6093900</v>
      </c>
      <c r="AF80" s="1125" t="s">
        <v>47</v>
      </c>
      <c r="AG80" s="1059">
        <f>IF(AND(AQ80&lt;&gt;"対象外", P80&lt;&gt;""),ROUNDDOWN(ROUND(L80*VLOOKUP(K80,【参考】数式用２!$A$2:$K$48,MATCH("ベア加算あり",【参考】数式用２!$C$4:$K$4,0)+2,0),0)*M80,0)*AB80,"")</f>
        <v>2297700</v>
      </c>
      <c r="AH80" s="1128" t="s">
        <v>47</v>
      </c>
      <c r="AI80" s="1125" t="s">
        <v>481</v>
      </c>
      <c r="AJ80" s="1125" t="s">
        <v>481</v>
      </c>
      <c r="AK80" s="1131">
        <v>1</v>
      </c>
      <c r="AL80" s="1134" t="s">
        <v>489</v>
      </c>
      <c r="AM80" s="690" t="str">
        <f t="shared" ref="AM80" si="48">IF(Q80="","",IF(Q80&lt;O80,"！加算の要件上は問題ありませんが、令和６年度末の加算率と比較して、令和７年度の加算率が低くなっています。",""))</f>
        <v/>
      </c>
      <c r="AN80" s="385"/>
      <c r="AO80" s="1120" t="str">
        <f>IF(K80&lt;&gt;"","Q列に色付け","")</f>
        <v>Q列に色付け</v>
      </c>
      <c r="AP80" s="1137" t="str">
        <f>IF(AND(AE80&lt;&gt;0,AE80&lt;&gt;""),IF(AF80="○","入力済","未入力"),"")</f>
        <v>入力済</v>
      </c>
      <c r="AQ80" s="975" t="str">
        <f>IFERROR((VLOOKUP(N80, 【参考】数式用２!$BE$5:$BE$13, 1,FALSE)), "対象外")</f>
        <v>処遇改善加算Ⅴ（14）</v>
      </c>
      <c r="AR80" s="838" t="str">
        <f>IF(AG80&lt;&gt;"",IF(AH80="○","入力済","未入力"),"")</f>
        <v>入力済</v>
      </c>
      <c r="AS80" s="838" t="str">
        <f>IF(AND(P80&lt;&gt;"", AI80=""), "未入力", "入力済")</f>
        <v>入力済</v>
      </c>
      <c r="AT80" s="838" t="str">
        <f>IF(AND(P80&lt;&gt;"", P80&lt;&gt;"処遇改善加算Ⅳ", AJ80=""), "未入力", "入力済")</f>
        <v>入力済</v>
      </c>
      <c r="AU80" s="838" t="str">
        <f>IFERROR(VLOOKUP(K80, 【参考】数式用２!$BB$5:$BC$48, 2, FALSE), "")</f>
        <v>対象</v>
      </c>
      <c r="AV80" s="838">
        <f>IF(AND(P80&lt;&gt;"処遇改善加算Ⅲ",P80&lt;&gt;"処遇改善加算Ⅳ", P80&lt;&gt;"", AU80&lt;&gt;"対象外"), 1,"")</f>
        <v>1</v>
      </c>
      <c r="AW80" s="838" t="str">
        <f>IFERROR("_"&amp;VLOOKUP(K80, 【参考】数式用２!$AG$2:$AH$48, 2, FALSE), "")</f>
        <v>_72</v>
      </c>
      <c r="AX80" s="1138" t="str">
        <f>IF(AND(P80="処遇改善加算Ⅰ", AL80=""), "未入力","入力済")</f>
        <v>入力済</v>
      </c>
      <c r="AY80" s="1120" t="str">
        <f>G80</f>
        <v>千代田区</v>
      </c>
      <c r="AZ80"/>
      <c r="BA80"/>
      <c r="BB80"/>
      <c r="BC80"/>
      <c r="BD80"/>
      <c r="BE80"/>
      <c r="BF80"/>
      <c r="BG80"/>
    </row>
    <row r="81" spans="1:59" ht="14.4">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4">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1111111125</v>
      </c>
      <c r="C84" s="1105"/>
      <c r="D84" s="1105"/>
      <c r="E84" s="1105"/>
      <c r="F84" s="1105"/>
      <c r="G84" s="1105" t="str">
        <f>IF(基本情報入力シート!L58="", "",基本情報入力シート!L58)</f>
        <v>千代田区</v>
      </c>
      <c r="H84" s="1105" t="str">
        <f>IF(基本情報入力シート!Q58="", "",基本情報入力シート!Q58)</f>
        <v>東京都</v>
      </c>
      <c r="I84" s="1105" t="str">
        <f>IF(基本情報入力シート!V58="", "",基本情報入力シート!V58)</f>
        <v>千代田区</v>
      </c>
      <c r="J84" s="1105" t="str">
        <f>IF(基本情報入力シート!W58="", "",基本情報入力シート!W58)</f>
        <v>○○デイケア</v>
      </c>
      <c r="K84" s="1105" t="str">
        <f>IF(基本情報入力シート!X58="", "",基本情報入力シート!X58)</f>
        <v>介護予防認知症対応型通所介護</v>
      </c>
      <c r="L84" s="1110">
        <f>IF(基本情報入力シート!AC58=0, "",基本情報入力シート!AC58)</f>
        <v>750000</v>
      </c>
      <c r="M84" s="1113">
        <f>IF(基本情報入力シート!AD58="", "",基本情報入力シート!AD58)</f>
        <v>11.1</v>
      </c>
      <c r="N84" s="1071" t="s">
        <v>502</v>
      </c>
      <c r="O84" s="1056">
        <f>IFERROR(VLOOKUP(K84,【参考】数式用２!$A$2:$AD$48,MATCH(N84,【参考】数式用２!$C$4:$AD$4,0)+2,0),"")</f>
        <v>0</v>
      </c>
      <c r="P84" s="1139" t="s">
        <v>476</v>
      </c>
      <c r="Q84" s="1142">
        <f>IFERROR(VLOOKUP(K84,【参考】数式用２!$A$2:$AC$48,MATCH(P84,【参考】数式用２!$C$4:$AC$4,0)+2,0),"")</f>
        <v>0.18099999999999999</v>
      </c>
      <c r="R84" s="1145" t="s">
        <v>388</v>
      </c>
      <c r="S84" s="1148">
        <v>7</v>
      </c>
      <c r="T84" s="1065" t="s">
        <v>477</v>
      </c>
      <c r="U84" s="1148">
        <v>4</v>
      </c>
      <c r="V84" s="1065" t="s">
        <v>478</v>
      </c>
      <c r="W84" s="1148">
        <v>8</v>
      </c>
      <c r="X84" s="1065" t="s">
        <v>477</v>
      </c>
      <c r="Y84" s="1148">
        <v>3</v>
      </c>
      <c r="Z84" s="1065" t="s">
        <v>479</v>
      </c>
      <c r="AA84" s="1065" t="s">
        <v>291</v>
      </c>
      <c r="AB84" s="1065">
        <f>IF(S84&gt;=1,(W84*12+Y84)-(S84*12+U84)+1,"")</f>
        <v>12</v>
      </c>
      <c r="AC84" s="1068" t="s">
        <v>480</v>
      </c>
      <c r="AD84" s="1059">
        <f>IFERROR(ROUNDDOWN(ROUND(L84*Q84,0)*M84,0)*AB84,"")</f>
        <v>18081900</v>
      </c>
      <c r="AE84" s="1062">
        <f>IFERROR(ROUNDDOWN(ROUNDDOWN(ROUND(L84*VLOOKUP(K84,【参考】数式用２!$A$2:$AC$48,MATCH("処遇改善加算Ⅳ",【参考】数式用２!$C$4:$O$4,0)+2,0),0)*M84,0)*AB84*0.5,0), "")</f>
        <v>6093900</v>
      </c>
      <c r="AF84" s="1125" t="s">
        <v>47</v>
      </c>
      <c r="AG84" s="1059" t="str">
        <f>IF(AND(AQ84&lt;&gt;"対象外", P84&lt;&gt;""),ROUNDDOWN(ROUND(L84*VLOOKUP(K84,【参考】数式用２!$A$2:$K$48,MATCH("ベア加算あり",【参考】数式用２!$C$4:$K$4,0)+2,0),0)*M84,0)*AB84,"")</f>
        <v/>
      </c>
      <c r="AH84" s="1128"/>
      <c r="AI84" s="1125" t="s">
        <v>47</v>
      </c>
      <c r="AJ84" s="1125" t="s">
        <v>47</v>
      </c>
      <c r="AK84" s="1131"/>
      <c r="AL84" s="1134" t="s">
        <v>489</v>
      </c>
      <c r="AM84" s="690" t="str">
        <f t="shared" ref="AM84" si="51">IF(Q84="","",IF(Q84&lt;O84,"！加算の要件上は問題ありませんが、令和６年度末の加算率と比較して、令和７年度の加算率が低くなっています。",""))</f>
        <v/>
      </c>
      <c r="AN84" s="385"/>
      <c r="AO84" s="1120" t="str">
        <f>IF(K84&lt;&gt;"","Q列に色付け","")</f>
        <v>Q列に色付け</v>
      </c>
      <c r="AP84" s="1137" t="str">
        <f>IF(AND(AE84&lt;&gt;0,AE84&lt;&gt;""),IF(AF84="○","入力済","未入力"),"")</f>
        <v>入力済</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対象外</v>
      </c>
      <c r="AV84" s="838" t="str">
        <f>IF(AND(P84&lt;&gt;"処遇改善加算Ⅲ",P84&lt;&gt;"処遇改善加算Ⅳ", P84&lt;&gt;"", AU84&lt;&gt;"対象外"), 1,"")</f>
        <v/>
      </c>
      <c r="AW84" s="838" t="str">
        <f>IFERROR("_"&amp;VLOOKUP(K84, 【参考】数式用２!$AG$2:$AH$48, 2, FALSE), "")</f>
        <v>_74</v>
      </c>
      <c r="AX84" s="1138" t="str">
        <f>IF(AND(P84="処遇改善加算Ⅰ", AL84=""), "未入力","入力済")</f>
        <v>入力済</v>
      </c>
      <c r="AY84" s="1120" t="str">
        <f>G84</f>
        <v>千代田区</v>
      </c>
      <c r="AZ84"/>
      <c r="BA84"/>
      <c r="BB84"/>
      <c r="BC84"/>
      <c r="BD84"/>
      <c r="BE84"/>
      <c r="BF84"/>
      <c r="BG84"/>
    </row>
    <row r="85" spans="1:59" ht="14.4">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4">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1111111126</v>
      </c>
      <c r="C88" s="1105"/>
      <c r="D88" s="1105"/>
      <c r="E88" s="1105"/>
      <c r="F88" s="1105"/>
      <c r="G88" s="1105" t="str">
        <f>IF(基本情報入力シート!L59="", "",基本情報入力シート!L59)</f>
        <v>千代田区</v>
      </c>
      <c r="H88" s="1105" t="str">
        <f>IF(基本情報入力シート!Q59="", "",基本情報入力シート!Q59)</f>
        <v>東京都</v>
      </c>
      <c r="I88" s="1105" t="str">
        <f>IF(基本情報入力シート!V59="", "",基本情報入力シート!V59)</f>
        <v>千代田区</v>
      </c>
      <c r="J88" s="1105" t="str">
        <f>IF(基本情報入力シート!W59="", "",基本情報入力シート!W59)</f>
        <v>○○小多機</v>
      </c>
      <c r="K88" s="1105" t="str">
        <f>IF(基本情報入力シート!X59="", "",基本情報入力シート!X59)</f>
        <v>小規模多機能型居宅介護</v>
      </c>
      <c r="L88" s="1110">
        <f>IF(基本情報入力シート!AC59=0, "",基本情報入力シート!AC59)</f>
        <v>750000</v>
      </c>
      <c r="M88" s="1113">
        <f>IF(基本情報入力シート!AD59="", "",基本情報入力シート!AD59)</f>
        <v>11.1</v>
      </c>
      <c r="N88" s="1071" t="s">
        <v>485</v>
      </c>
      <c r="O88" s="1056">
        <f>IFERROR(VLOOKUP(K88,【参考】数式用２!$A$2:$AD$48,MATCH(N88,【参考】数式用２!$C$4:$AD$4,0)+2,0),"")</f>
        <v>0.106</v>
      </c>
      <c r="P88" s="1139" t="s">
        <v>476</v>
      </c>
      <c r="Q88" s="1142">
        <f>IFERROR(VLOOKUP(K88,【参考】数式用２!$A$2:$AC$48,MATCH(P88,【参考】数式用２!$C$4:$AC$4,0)+2,0),"")</f>
        <v>0.14900000000000002</v>
      </c>
      <c r="R88" s="1145" t="s">
        <v>388</v>
      </c>
      <c r="S88" s="1148">
        <v>7</v>
      </c>
      <c r="T88" s="1065" t="s">
        <v>477</v>
      </c>
      <c r="U88" s="1148">
        <v>4</v>
      </c>
      <c r="V88" s="1065" t="s">
        <v>478</v>
      </c>
      <c r="W88" s="1148">
        <v>8</v>
      </c>
      <c r="X88" s="1065" t="s">
        <v>477</v>
      </c>
      <c r="Y88" s="1148">
        <v>3</v>
      </c>
      <c r="Z88" s="1065" t="s">
        <v>479</v>
      </c>
      <c r="AA88" s="1065" t="s">
        <v>291</v>
      </c>
      <c r="AB88" s="1065">
        <f>IF(S88&gt;=1,(W88*12+Y88)-(S88*12+U88)+1,"")</f>
        <v>12</v>
      </c>
      <c r="AC88" s="1068" t="s">
        <v>480</v>
      </c>
      <c r="AD88" s="1059">
        <f>IFERROR(ROUNDDOWN(ROUND(L88*Q88,0)*M88,0)*AB88,"")</f>
        <v>14885100</v>
      </c>
      <c r="AE88" s="1062">
        <f>IFERROR(ROUNDDOWN(ROUNDDOWN(ROUND(L88*VLOOKUP(K88,【参考】数式用２!$A$2:$AC$48,MATCH("処遇改善加算Ⅳ",【参考】数式用２!$C$4:$O$4,0)+2,0),0)*M88,0)*AB88*0.5,0), "")</f>
        <v>5294700</v>
      </c>
      <c r="AF88" s="1125" t="s">
        <v>47</v>
      </c>
      <c r="AG88" s="1059" t="str">
        <f>IF(AND(AQ88&lt;&gt;"対象外", P88&lt;&gt;""),ROUNDDOWN(ROUND(L88*VLOOKUP(K88,【参考】数式用２!$A$2:$K$48,MATCH("ベア加算あり",【参考】数式用２!$C$4:$K$4,0)+2,0),0)*M88,0)*AB88,"")</f>
        <v/>
      </c>
      <c r="AH88" s="1128"/>
      <c r="AI88" s="1125" t="s">
        <v>47</v>
      </c>
      <c r="AJ88" s="1125" t="s">
        <v>481</v>
      </c>
      <c r="AK88" s="1131">
        <v>1</v>
      </c>
      <c r="AL88" s="1134" t="s">
        <v>489</v>
      </c>
      <c r="AM88" s="690" t="str">
        <f t="shared" ref="AM88" si="54">IF(Q88="","",IF(Q88&lt;O88,"！加算の要件上は問題ありませんが、令和６年度末の加算率と比較して、令和７年度の加算率が低くなっています。",""))</f>
        <v/>
      </c>
      <c r="AN88" s="385"/>
      <c r="AO88" s="1120" t="str">
        <f>IF(K88&lt;&gt;"","Q列に色付け","")</f>
        <v>Q列に色付け</v>
      </c>
      <c r="AP88" s="1137" t="str">
        <f>IF(AND(AE88&lt;&gt;0,AE88&lt;&gt;""),IF(AF88="○","入力済","未入力"),"")</f>
        <v>入力済</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対象</v>
      </c>
      <c r="AV88" s="838">
        <f>IF(AND(P88&lt;&gt;"処遇改善加算Ⅲ",P88&lt;&gt;"処遇改善加算Ⅳ", P88&lt;&gt;"", AU88&lt;&gt;"対象外"), 1,"")</f>
        <v>1</v>
      </c>
      <c r="AW88" s="838" t="str">
        <f>IFERROR("_"&amp;VLOOKUP(K88, 【参考】数式用２!$AG$2:$AH$48, 2, FALSE), "")</f>
        <v>_73</v>
      </c>
      <c r="AX88" s="1138" t="str">
        <f>IF(AND(P88="処遇改善加算Ⅰ", AL88=""), "未入力","入力済")</f>
        <v>入力済</v>
      </c>
      <c r="AY88" s="1120" t="str">
        <f>G88</f>
        <v>千代田区</v>
      </c>
      <c r="AZ88"/>
      <c r="BA88"/>
      <c r="BB88"/>
      <c r="BC88"/>
      <c r="BD88"/>
      <c r="BE88"/>
      <c r="BF88"/>
      <c r="BG88"/>
    </row>
    <row r="89" spans="1:59" ht="14.4">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4">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1111111127</v>
      </c>
      <c r="C92" s="1105"/>
      <c r="D92" s="1105"/>
      <c r="E92" s="1105"/>
      <c r="F92" s="1105"/>
      <c r="G92" s="1105" t="str">
        <f>IF(基本情報入力シート!L60="", "",基本情報入力シート!L60)</f>
        <v>千代田区</v>
      </c>
      <c r="H92" s="1105" t="str">
        <f>IF(基本情報入力シート!Q60="", "",基本情報入力シート!Q60)</f>
        <v>東京都</v>
      </c>
      <c r="I92" s="1105" t="str">
        <f>IF(基本情報入力シート!V60="", "",基本情報入力シート!V60)</f>
        <v>千代田区</v>
      </c>
      <c r="J92" s="1105" t="str">
        <f>IF(基本情報入力シート!W60="", "",基本情報入力シート!W60)</f>
        <v>○○小多機</v>
      </c>
      <c r="K92" s="1105" t="str">
        <f>IF(基本情報入力シート!X60="", "",基本情報入力シート!X60)</f>
        <v>小規模多機能型居宅介護（短期利用型）</v>
      </c>
      <c r="L92" s="1110">
        <f>IF(基本情報入力シート!AC60=0, "",基本情報入力シート!AC60)</f>
        <v>750000</v>
      </c>
      <c r="M92" s="1113">
        <f>IF(基本情報入力シート!AD60="", "",基本情報入力シート!AD60)</f>
        <v>11.1</v>
      </c>
      <c r="N92" s="1071" t="s">
        <v>485</v>
      </c>
      <c r="O92" s="1056">
        <f>IFERROR(VLOOKUP(K92,【参考】数式用２!$A$2:$AD$48,MATCH(N92,【参考】数式用２!$C$4:$AD$4,0)+2,0),"")</f>
        <v>0.106</v>
      </c>
      <c r="P92" s="1139" t="s">
        <v>476</v>
      </c>
      <c r="Q92" s="1142">
        <f>IFERROR(VLOOKUP(K92,【参考】数式用２!$A$2:$AC$48,MATCH(P92,【参考】数式用２!$C$4:$AC$4,0)+2,0),"")</f>
        <v>0.14900000000000002</v>
      </c>
      <c r="R92" s="1145" t="s">
        <v>388</v>
      </c>
      <c r="S92" s="1148">
        <v>7</v>
      </c>
      <c r="T92" s="1065" t="s">
        <v>477</v>
      </c>
      <c r="U92" s="1148">
        <v>4</v>
      </c>
      <c r="V92" s="1065" t="s">
        <v>478</v>
      </c>
      <c r="W92" s="1148">
        <v>8</v>
      </c>
      <c r="X92" s="1065" t="s">
        <v>477</v>
      </c>
      <c r="Y92" s="1148">
        <v>3</v>
      </c>
      <c r="Z92" s="1065" t="s">
        <v>479</v>
      </c>
      <c r="AA92" s="1065" t="s">
        <v>291</v>
      </c>
      <c r="AB92" s="1065">
        <f>IF(S92&gt;=1,(W92*12+Y92)-(S92*12+U92)+1,"")</f>
        <v>12</v>
      </c>
      <c r="AC92" s="1068" t="s">
        <v>480</v>
      </c>
      <c r="AD92" s="1059">
        <f>IFERROR(ROUNDDOWN(ROUND(L92*Q92,0)*M92,0)*AB92,"")</f>
        <v>14885100</v>
      </c>
      <c r="AE92" s="1062">
        <f>IFERROR(ROUNDDOWN(ROUNDDOWN(ROUND(L92*VLOOKUP(K92,【参考】数式用２!$A$2:$AC$48,MATCH("処遇改善加算Ⅳ",【参考】数式用２!$C$4:$O$4,0)+2,0),0)*M92,0)*AB92*0.5,0), "")</f>
        <v>5294700</v>
      </c>
      <c r="AF92" s="1125" t="s">
        <v>47</v>
      </c>
      <c r="AG92" s="1059" t="str">
        <f>IF(AND(AQ92&lt;&gt;"対象外", P92&lt;&gt;""),ROUNDDOWN(ROUND(L92*VLOOKUP(K92,【参考】数式用２!$A$2:$K$48,MATCH("ベア加算あり",【参考】数式用２!$C$4:$K$4,0)+2,0),0)*M92,0)*AB92,"")</f>
        <v/>
      </c>
      <c r="AH92" s="1128"/>
      <c r="AI92" s="1125" t="s">
        <v>481</v>
      </c>
      <c r="AJ92" s="1125" t="s">
        <v>481</v>
      </c>
      <c r="AK92" s="1131"/>
      <c r="AL92" s="1134" t="s">
        <v>489</v>
      </c>
      <c r="AM92" s="690" t="str">
        <f t="shared" ref="AM92" si="57">IF(Q92="","",IF(Q92&lt;O92,"！加算の要件上は問題ありませんが、令和６年度末の加算率と比較して、令和７年度の加算率が低くなっています。",""))</f>
        <v/>
      </c>
      <c r="AN92" s="385"/>
      <c r="AO92" s="1120" t="str">
        <f>IF(K92&lt;&gt;"","Q列に色付け","")</f>
        <v>Q列に色付け</v>
      </c>
      <c r="AP92" s="1137" t="str">
        <f>IF(AND(AE92&lt;&gt;0,AE92&lt;&gt;""),IF(AF92="○","入力済","未入力"),"")</f>
        <v>入力済</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対象外</v>
      </c>
      <c r="AV92" s="838" t="str">
        <f>IF(AND(P92&lt;&gt;"処遇改善加算Ⅲ",P92&lt;&gt;"処遇改善加算Ⅳ", P92&lt;&gt;"", AU92&lt;&gt;"対象外"), 1,"")</f>
        <v/>
      </c>
      <c r="AW92" s="838" t="str">
        <f>IFERROR("_"&amp;VLOOKUP(K92, 【参考】数式用２!$AG$2:$AH$48, 2, FALSE), "")</f>
        <v>_68</v>
      </c>
      <c r="AX92" s="1138" t="str">
        <f>IF(AND(P92="処遇改善加算Ⅰ", AL92=""), "未入力","入力済")</f>
        <v>入力済</v>
      </c>
      <c r="AY92" s="1120" t="str">
        <f>G92</f>
        <v>千代田区</v>
      </c>
      <c r="AZ92"/>
      <c r="BA92"/>
      <c r="BB92"/>
      <c r="BC92"/>
      <c r="BD92"/>
      <c r="BE92"/>
      <c r="BF92"/>
      <c r="BG92"/>
    </row>
    <row r="93" spans="1:59" ht="14.4">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4">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1111111128</v>
      </c>
      <c r="C96" s="1100"/>
      <c r="D96" s="1100"/>
      <c r="E96" s="1100"/>
      <c r="F96" s="1101"/>
      <c r="G96" s="1102" t="str">
        <f>IF(基本情報入力シート!L61="", "",基本情報入力シート!L61)</f>
        <v>千代田区</v>
      </c>
      <c r="H96" s="1102" t="str">
        <f>IF(基本情報入力シート!Q61="", "",基本情報入力シート!Q61)</f>
        <v>東京都</v>
      </c>
      <c r="I96" s="1102" t="str">
        <f>IF(基本情報入力シート!V61="", "",基本情報入力シート!V61)</f>
        <v>千代田区</v>
      </c>
      <c r="J96" s="1102" t="str">
        <f>IF(基本情報入力シート!W61="", "",基本情報入力シート!W61)</f>
        <v>○○小多機</v>
      </c>
      <c r="K96" s="1102" t="str">
        <f>IF(基本情報入力シート!X61="", "",基本情報入力シート!X61)</f>
        <v>介護予防小規模多機能型居宅介護</v>
      </c>
      <c r="L96" s="1103">
        <f>IF(基本情報入力シート!AC61=0, "",基本情報入力シート!AC61)</f>
        <v>750000</v>
      </c>
      <c r="M96" s="1090">
        <f>IF(基本情報入力シート!AD61="", "",基本情報入力シート!AD61)</f>
        <v>11.1</v>
      </c>
      <c r="N96" s="1071" t="s">
        <v>485</v>
      </c>
      <c r="O96" s="1056">
        <f>IFERROR(VLOOKUP(K96,【参考】数式用２!$A$2:$AD$48,MATCH(N96,【参考】数式用２!$C$4:$AD$4,0)+2,0),"")</f>
        <v>0.106</v>
      </c>
      <c r="P96" s="1139" t="s">
        <v>476</v>
      </c>
      <c r="Q96" s="1142">
        <f>IFERROR(VLOOKUP(K96,【参考】数式用２!$A$2:$AC$48,MATCH(P96,【参考】数式用２!$C$4:$AC$4,0)+2,0),"")</f>
        <v>0.14900000000000002</v>
      </c>
      <c r="R96" s="1145" t="s">
        <v>388</v>
      </c>
      <c r="S96" s="1148">
        <v>7</v>
      </c>
      <c r="T96" s="1065" t="s">
        <v>477</v>
      </c>
      <c r="U96" s="1148">
        <v>4</v>
      </c>
      <c r="V96" s="1065" t="s">
        <v>478</v>
      </c>
      <c r="W96" s="1148">
        <v>8</v>
      </c>
      <c r="X96" s="1065" t="s">
        <v>477</v>
      </c>
      <c r="Y96" s="1148">
        <v>3</v>
      </c>
      <c r="Z96" s="1065" t="s">
        <v>479</v>
      </c>
      <c r="AA96" s="1065" t="s">
        <v>291</v>
      </c>
      <c r="AB96" s="1065">
        <f>IF(S96&gt;=1,(W96*12+Y96)-(S96*12+U96)+1,"")</f>
        <v>12</v>
      </c>
      <c r="AC96" s="1068" t="s">
        <v>480</v>
      </c>
      <c r="AD96" s="1059">
        <f>IFERROR(ROUNDDOWN(ROUND(L96*Q96,0)*M96,0)*AB96,"")</f>
        <v>14885100</v>
      </c>
      <c r="AE96" s="1062">
        <f>IFERROR(ROUNDDOWN(ROUNDDOWN(ROUND(L96*VLOOKUP(K96,【参考】数式用２!$A$2:$AC$48,MATCH("処遇改善加算Ⅳ",【参考】数式用２!$C$4:$O$4,0)+2,0),0)*M96,0)*AB96*0.5,0), "")</f>
        <v>5294700</v>
      </c>
      <c r="AF96" s="1125" t="s">
        <v>47</v>
      </c>
      <c r="AG96" s="1059" t="str">
        <f>IF(AND(AQ96&lt;&gt;"対象外", P96&lt;&gt;""),ROUNDDOWN(ROUND(L96*VLOOKUP(K96,【参考】数式用２!$A$2:$K$48,MATCH("ベア加算あり",【参考】数式用２!$C$4:$K$4,0)+2,0),0)*M96,0)*AB96,"")</f>
        <v/>
      </c>
      <c r="AH96" s="1128"/>
      <c r="AI96" s="1125" t="s">
        <v>481</v>
      </c>
      <c r="AJ96" s="1125" t="s">
        <v>47</v>
      </c>
      <c r="AK96" s="1131"/>
      <c r="AL96" s="1134" t="s">
        <v>489</v>
      </c>
      <c r="AM96" s="690" t="str">
        <f t="shared" ref="AM96" si="60">IF(Q96="","",IF(Q96&lt;O96,"！加算の要件上は問題ありませんが、令和６年度末の加算率と比較して、令和７年度の加算率が低くなっています。",""))</f>
        <v/>
      </c>
      <c r="AN96" s="385"/>
      <c r="AO96" s="1120" t="str">
        <f>IF(K96&lt;&gt;"","Q列に色付け","")</f>
        <v>Q列に色付け</v>
      </c>
      <c r="AP96" s="1137" t="str">
        <f>IF(AND(AE96&lt;&gt;0,AE96&lt;&gt;""),IF(AF96="○","入力済","未入力"),"")</f>
        <v>入力済</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対象外</v>
      </c>
      <c r="AV96" s="838" t="str">
        <f>IF(AND(P96&lt;&gt;"処遇改善加算Ⅲ",P96&lt;&gt;"処遇改善加算Ⅳ", P96&lt;&gt;"", AU96&lt;&gt;"対象外"), 1,"")</f>
        <v/>
      </c>
      <c r="AW96" s="838" t="str">
        <f>IFERROR("_"&amp;VLOOKUP(K96, 【参考】数式用２!$AG$2:$AH$48, 2, FALSE), "")</f>
        <v>_75</v>
      </c>
      <c r="AX96" s="1138" t="str">
        <f>IF(AND(P96="処遇改善加算Ⅰ", AL96=""), "未入力","入力済")</f>
        <v>入力済</v>
      </c>
      <c r="AY96" s="1120" t="str">
        <f>G96</f>
        <v>千代田区</v>
      </c>
      <c r="AZ96"/>
      <c r="BA96"/>
      <c r="BB96"/>
      <c r="BC96"/>
      <c r="BD96"/>
      <c r="BE96"/>
      <c r="BF96"/>
      <c r="BG96"/>
    </row>
    <row r="97" spans="1:59" ht="14.4">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4">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1111111129</v>
      </c>
      <c r="C100" s="1077"/>
      <c r="D100" s="1077"/>
      <c r="E100" s="1077"/>
      <c r="F100" s="1078"/>
      <c r="G100" s="1084" t="str">
        <f>IF(基本情報入力シート!L62="", "",基本情報入力シート!L62)</f>
        <v>千代田区</v>
      </c>
      <c r="H100" s="1084" t="str">
        <f>IF(基本情報入力シート!Q62="", "",基本情報入力シート!Q62)</f>
        <v>東京都</v>
      </c>
      <c r="I100" s="1084" t="str">
        <f>IF(基本情報入力シート!V62="", "",基本情報入力シート!V62)</f>
        <v>千代田区</v>
      </c>
      <c r="J100" s="1084" t="str">
        <f>IF(基本情報入力シート!W62="", "",基本情報入力シート!W62)</f>
        <v>○○小多機</v>
      </c>
      <c r="K100" s="1084" t="str">
        <f>IF(基本情報入力シート!X62="", "",基本情報入力シート!X62)</f>
        <v>介護予防小規模多機能型居宅介護（短期利用型）</v>
      </c>
      <c r="L100" s="1087">
        <f>IF(基本情報入力シート!AC62=0, "",基本情報入力シート!AC62)</f>
        <v>750000</v>
      </c>
      <c r="M100" s="1090">
        <f>IF(基本情報入力シート!AD62="", "",基本情報入力シート!AD62)</f>
        <v>11.1</v>
      </c>
      <c r="N100" s="1071" t="s">
        <v>485</v>
      </c>
      <c r="O100" s="1056">
        <f>IFERROR(VLOOKUP(K100,【参考】数式用２!$A$2:$AD$48,MATCH(N100,【参考】数式用２!$C$4:$AD$4,0)+2,0),"")</f>
        <v>0.106</v>
      </c>
      <c r="P100" s="1139" t="s">
        <v>476</v>
      </c>
      <c r="Q100" s="1142">
        <f>IFERROR(VLOOKUP(K100,【参考】数式用２!$A$2:$AC$48,MATCH(P100,【参考】数式用２!$C$4:$AC$4,0)+2,0),"")</f>
        <v>0.14900000000000002</v>
      </c>
      <c r="R100" s="1145" t="s">
        <v>388</v>
      </c>
      <c r="S100" s="1148">
        <v>7</v>
      </c>
      <c r="T100" s="1065" t="s">
        <v>477</v>
      </c>
      <c r="U100" s="1148">
        <v>4</v>
      </c>
      <c r="V100" s="1065" t="s">
        <v>478</v>
      </c>
      <c r="W100" s="1148">
        <v>8</v>
      </c>
      <c r="X100" s="1065" t="s">
        <v>477</v>
      </c>
      <c r="Y100" s="1148">
        <v>3</v>
      </c>
      <c r="Z100" s="1065" t="s">
        <v>479</v>
      </c>
      <c r="AA100" s="1065" t="s">
        <v>291</v>
      </c>
      <c r="AB100" s="1065">
        <f>IF(S100&gt;=1,(W100*12+Y100)-(S100*12+U100)+1,"")</f>
        <v>12</v>
      </c>
      <c r="AC100" s="1068" t="s">
        <v>480</v>
      </c>
      <c r="AD100" s="1059">
        <f>IFERROR(ROUNDDOWN(ROUND(L100*Q100,0)*M100,0)*AB100,"")</f>
        <v>14885100</v>
      </c>
      <c r="AE100" s="1062">
        <f>IFERROR(ROUNDDOWN(ROUNDDOWN(ROUND(L100*VLOOKUP(K100,【参考】数式用２!$A$2:$AC$48,MATCH("処遇改善加算Ⅳ",【参考】数式用２!$C$4:$O$4,0)+2,0),0)*M100,0)*AB100*0.5,0), "")</f>
        <v>5294700</v>
      </c>
      <c r="AF100" s="1125" t="s">
        <v>47</v>
      </c>
      <c r="AG100" s="1059" t="str">
        <f>IF(AND(AQ100&lt;&gt;"対象外", P100&lt;&gt;""),ROUNDDOWN(ROUND(L100*VLOOKUP(K100,【参考】数式用２!$A$2:$K$48,MATCH("ベア加算あり",【参考】数式用２!$C$4:$K$4,0)+2,0),0)*M100,0)*AB100,"")</f>
        <v/>
      </c>
      <c r="AH100" s="1128"/>
      <c r="AI100" s="1125" t="s">
        <v>47</v>
      </c>
      <c r="AJ100" s="1125" t="s">
        <v>481</v>
      </c>
      <c r="AK100" s="1131"/>
      <c r="AL100" s="1134" t="s">
        <v>489</v>
      </c>
      <c r="AM100" s="690" t="str">
        <f t="shared" ref="AM100" si="63">IF(Q100="","",IF(Q100&lt;O100,"！加算の要件上は問題ありませんが、令和６年度末の加算率と比較して、令和７年度の加算率が低くなっています。",""))</f>
        <v/>
      </c>
      <c r="AN100" s="385"/>
      <c r="AO100" s="1121" t="str">
        <f>IF(K100&lt;&gt;"","Q列に色付け","")</f>
        <v>Q列に色付け</v>
      </c>
      <c r="AP100" s="1137" t="str">
        <f>IF(AND(AE100&lt;&gt;0,AE100&lt;&gt;""),IF(AF100="○","入力済","未入力"),"")</f>
        <v>入力済</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対象外</v>
      </c>
      <c r="AV100" s="838" t="str">
        <f>IF(AND(P100&lt;&gt;"処遇改善加算Ⅲ",P100&lt;&gt;"処遇改善加算Ⅳ", P100&lt;&gt;"", AU100&lt;&gt;"対象外"), 1,"")</f>
        <v/>
      </c>
      <c r="AW100" s="838" t="str">
        <f>IFERROR("_"&amp;VLOOKUP(K100, 【参考】数式用２!$AG$2:$AH$48, 2, FALSE), "")</f>
        <v>_69</v>
      </c>
      <c r="AX100" s="1138" t="str">
        <f>IF(AND(P100="処遇改善加算Ⅰ", AL100=""), "未入力","入力済")</f>
        <v>入力済</v>
      </c>
      <c r="AY100" s="1120" t="str">
        <f>G100</f>
        <v>千代田区</v>
      </c>
      <c r="AZ100"/>
      <c r="BA100"/>
      <c r="BB100"/>
      <c r="BC100"/>
      <c r="BD100"/>
      <c r="BE100"/>
      <c r="BF100"/>
      <c r="BG100"/>
    </row>
    <row r="101" spans="1:59" ht="14.4">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4">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1111111130</v>
      </c>
      <c r="C104" s="1077"/>
      <c r="D104" s="1077"/>
      <c r="E104" s="1077"/>
      <c r="F104" s="1078"/>
      <c r="G104" s="1084" t="str">
        <f>IF(基本情報入力シート!L63="", "",基本情報入力シート!L63)</f>
        <v>千代田区</v>
      </c>
      <c r="H104" s="1084" t="str">
        <f>IF(基本情報入力シート!Q63="", "",基本情報入力シート!Q63)</f>
        <v>東京都</v>
      </c>
      <c r="I104" s="1084" t="str">
        <f>IF(基本情報入力シート!V63="", "",基本情報入力シート!V63)</f>
        <v>千代田区</v>
      </c>
      <c r="J104" s="1084" t="str">
        <f>IF(基本情報入力シート!W63="", "",基本情報入力シート!W63)</f>
        <v>○○看多機</v>
      </c>
      <c r="K104" s="1084" t="str">
        <f>IF(基本情報入力シート!X63="", "",基本情報入力シート!X63)</f>
        <v>複合型サービス（看護小規模多機能型居宅介護）</v>
      </c>
      <c r="L104" s="1087">
        <f>IF(基本情報入力シート!AC63=0, "",基本情報入力シート!AC63)</f>
        <v>750000</v>
      </c>
      <c r="M104" s="1090">
        <f>IF(基本情報入力シート!AD63="", "",基本情報入力シート!AD63)</f>
        <v>11.1</v>
      </c>
      <c r="N104" s="1071" t="s">
        <v>485</v>
      </c>
      <c r="O104" s="1056">
        <f>IFERROR(VLOOKUP(K104,【参考】数式用２!$A$2:$AD$48,MATCH(N104,【参考】数式用２!$C$4:$AD$4,0)+2,0),"")</f>
        <v>0.106</v>
      </c>
      <c r="P104" s="1139" t="s">
        <v>476</v>
      </c>
      <c r="Q104" s="1142">
        <f>IFERROR(VLOOKUP(K104,【参考】数式用２!$A$2:$AC$48,MATCH(P104,【参考】数式用２!$C$4:$AC$4,0)+2,0),"")</f>
        <v>0.14900000000000002</v>
      </c>
      <c r="R104" s="1145" t="s">
        <v>388</v>
      </c>
      <c r="S104" s="1148">
        <v>7</v>
      </c>
      <c r="T104" s="1065" t="s">
        <v>477</v>
      </c>
      <c r="U104" s="1148">
        <v>4</v>
      </c>
      <c r="V104" s="1065" t="s">
        <v>478</v>
      </c>
      <c r="W104" s="1148">
        <v>8</v>
      </c>
      <c r="X104" s="1065" t="s">
        <v>477</v>
      </c>
      <c r="Y104" s="1148">
        <v>3</v>
      </c>
      <c r="Z104" s="1065" t="s">
        <v>479</v>
      </c>
      <c r="AA104" s="1065" t="s">
        <v>291</v>
      </c>
      <c r="AB104" s="1065">
        <f>IF(S104&gt;=1,(W104*12+Y104)-(S104*12+U104)+1,"")</f>
        <v>12</v>
      </c>
      <c r="AC104" s="1068" t="s">
        <v>480</v>
      </c>
      <c r="AD104" s="1059">
        <f>IFERROR(ROUNDDOWN(ROUND(L104*Q104,0)*M104,0)*AB104,"")</f>
        <v>14885100</v>
      </c>
      <c r="AE104" s="1062">
        <f>IFERROR(ROUNDDOWN(ROUNDDOWN(ROUND(L104*VLOOKUP(K104,【参考】数式用２!$A$2:$AC$48,MATCH("処遇改善加算Ⅳ",【参考】数式用２!$C$4:$O$4,0)+2,0),0)*M104,0)*AB104*0.5,0), "")</f>
        <v>5294700</v>
      </c>
      <c r="AF104" s="1125" t="s">
        <v>47</v>
      </c>
      <c r="AG104" s="1059" t="str">
        <f>IF(AND(AQ104&lt;&gt;"対象外", P104&lt;&gt;""),ROUNDDOWN(ROUND(L104*VLOOKUP(K104,【参考】数式用２!$A$2:$K$48,MATCH("ベア加算あり",【参考】数式用２!$C$4:$K$4,0)+2,0),0)*M104,0)*AB104,"")</f>
        <v/>
      </c>
      <c r="AH104" s="1128"/>
      <c r="AI104" s="1125" t="s">
        <v>47</v>
      </c>
      <c r="AJ104" s="1125" t="s">
        <v>481</v>
      </c>
      <c r="AK104" s="1131">
        <v>1</v>
      </c>
      <c r="AL104" s="1134" t="s">
        <v>489</v>
      </c>
      <c r="AM104" s="690" t="str">
        <f t="shared" ref="AM104" si="66">IF(Q104="","",IF(Q104&lt;O104,"！加算の要件上は問題ありませんが、令和６年度末の加算率と比較して、令和７年度の加算率が低くなっています。",""))</f>
        <v/>
      </c>
      <c r="AN104" s="385"/>
      <c r="AO104" s="1120" t="str">
        <f>IF(K104&lt;&gt;"","Q列に色付け","")</f>
        <v>Q列に色付け</v>
      </c>
      <c r="AP104" s="1137" t="str">
        <f>IF(AND(AE104&lt;&gt;0,AE104&lt;&gt;""),IF(AF104="○","入力済","未入力"),"")</f>
        <v>入力済</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対象</v>
      </c>
      <c r="AV104" s="838">
        <f>IF(AND(P104&lt;&gt;"処遇改善加算Ⅲ",P104&lt;&gt;"処遇改善加算Ⅳ", P104&lt;&gt;"", AU104&lt;&gt;"対象外"), 1,"")</f>
        <v>1</v>
      </c>
      <c r="AW104" s="838" t="str">
        <f>IFERROR("_"&amp;VLOOKUP(K104, 【参考】数式用２!$AG$2:$AH$48, 2, FALSE), "")</f>
        <v>_77</v>
      </c>
      <c r="AX104" s="1138" t="str">
        <f>IF(AND(P104="処遇改善加算Ⅰ", AL104=""), "未入力","入力済")</f>
        <v>入力済</v>
      </c>
      <c r="AY104" s="1120" t="str">
        <f>G104</f>
        <v>千代田区</v>
      </c>
      <c r="AZ104"/>
      <c r="BA104"/>
      <c r="BB104"/>
      <c r="BC104"/>
      <c r="BD104"/>
      <c r="BE104"/>
      <c r="BF104"/>
      <c r="BG104"/>
    </row>
    <row r="105" spans="1:59" ht="14.4">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4">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1111111131</v>
      </c>
      <c r="C108" s="1077"/>
      <c r="D108" s="1077"/>
      <c r="E108" s="1077"/>
      <c r="F108" s="1078"/>
      <c r="G108" s="1084" t="str">
        <f>IF(基本情報入力シート!L64="", "",基本情報入力シート!L64)</f>
        <v>千代田区</v>
      </c>
      <c r="H108" s="1084" t="str">
        <f>IF(基本情報入力シート!Q64="", "",基本情報入力シート!Q64)</f>
        <v>東京都</v>
      </c>
      <c r="I108" s="1084" t="str">
        <f>IF(基本情報入力シート!V64="", "",基本情報入力シート!V64)</f>
        <v>千代田区</v>
      </c>
      <c r="J108" s="1084" t="str">
        <f>IF(基本情報入力シート!W64="", "",基本情報入力シート!W64)</f>
        <v>○○看多機</v>
      </c>
      <c r="K108" s="1084" t="str">
        <f>IF(基本情報入力シート!X64="", "",基本情報入力シート!X64)</f>
        <v>複合型サービス（看護小規模多機能型居宅介護・短期利用型）</v>
      </c>
      <c r="L108" s="1087">
        <f>IF(基本情報入力シート!AC64=0, "",基本情報入力シート!AC64)</f>
        <v>750000</v>
      </c>
      <c r="M108" s="1090">
        <f>IF(基本情報入力シート!AD64="", "",基本情報入力シート!AD64)</f>
        <v>11.1</v>
      </c>
      <c r="N108" s="1071" t="s">
        <v>485</v>
      </c>
      <c r="O108" s="1056">
        <f>IFERROR(VLOOKUP(K108,【参考】数式用２!$A$2:$AD$48,MATCH(N108,【参考】数式用２!$C$4:$AD$4,0)+2,0),"")</f>
        <v>0.106</v>
      </c>
      <c r="P108" s="1139" t="s">
        <v>476</v>
      </c>
      <c r="Q108" s="1142">
        <f>IFERROR(VLOOKUP(K108,【参考】数式用２!$A$2:$AC$48,MATCH(P108,【参考】数式用２!$C$4:$AC$4,0)+2,0),"")</f>
        <v>0.14900000000000002</v>
      </c>
      <c r="R108" s="1145" t="s">
        <v>388</v>
      </c>
      <c r="S108" s="1148">
        <v>7</v>
      </c>
      <c r="T108" s="1065" t="s">
        <v>477</v>
      </c>
      <c r="U108" s="1148">
        <v>4</v>
      </c>
      <c r="V108" s="1065" t="s">
        <v>478</v>
      </c>
      <c r="W108" s="1148">
        <v>8</v>
      </c>
      <c r="X108" s="1065" t="s">
        <v>477</v>
      </c>
      <c r="Y108" s="1148">
        <v>3</v>
      </c>
      <c r="Z108" s="1065" t="s">
        <v>479</v>
      </c>
      <c r="AA108" s="1065" t="s">
        <v>291</v>
      </c>
      <c r="AB108" s="1065">
        <f>IF(S108&gt;=1,(W108*12+Y108)-(S108*12+U108)+1,"")</f>
        <v>12</v>
      </c>
      <c r="AC108" s="1068" t="s">
        <v>480</v>
      </c>
      <c r="AD108" s="1059">
        <f>IFERROR(ROUNDDOWN(ROUND(L108*Q108,0)*M108,0)*AB108,"")</f>
        <v>14885100</v>
      </c>
      <c r="AE108" s="1062">
        <f>IFERROR(ROUNDDOWN(ROUNDDOWN(ROUND(L108*VLOOKUP(K108,【参考】数式用２!$A$2:$AC$48,MATCH("処遇改善加算Ⅳ",【参考】数式用２!$C$4:$O$4,0)+2,0),0)*M108,0)*AB108*0.5,0), "")</f>
        <v>5294700</v>
      </c>
      <c r="AF108" s="1125" t="s">
        <v>47</v>
      </c>
      <c r="AG108" s="1059" t="str">
        <f>IF(AND(AQ108&lt;&gt;"対象外", P108&lt;&gt;""),ROUNDDOWN(ROUND(L108*VLOOKUP(K108,【参考】数式用２!$A$2:$K$48,MATCH("ベア加算あり",【参考】数式用２!$C$4:$K$4,0)+2,0),0)*M108,0)*AB108,"")</f>
        <v/>
      </c>
      <c r="AH108" s="1128"/>
      <c r="AI108" s="1125" t="s">
        <v>481</v>
      </c>
      <c r="AJ108" s="1125" t="s">
        <v>47</v>
      </c>
      <c r="AK108" s="1131"/>
      <c r="AL108" s="1134" t="s">
        <v>489</v>
      </c>
      <c r="AM108" s="690" t="str">
        <f t="shared" ref="AM108" si="69">IF(Q108="","",IF(Q108&lt;O108,"！加算の要件上は問題ありませんが、令和６年度末の加算率と比較して、令和７年度の加算率が低くなっています。",""))</f>
        <v/>
      </c>
      <c r="AN108" s="385"/>
      <c r="AO108" s="1121" t="str">
        <f>IF(K108&lt;&gt;"","Q列に色付け","")</f>
        <v>Q列に色付け</v>
      </c>
      <c r="AP108" s="1137" t="str">
        <f>IF(AND(AE108&lt;&gt;0,AE108&lt;&gt;""),IF(AF108="○","入力済","未入力"),"")</f>
        <v>入力済</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対象外</v>
      </c>
      <c r="AV108" s="838" t="str">
        <f>IF(AND(P108&lt;&gt;"処遇改善加算Ⅲ",P108&lt;&gt;"処遇改善加算Ⅳ", P108&lt;&gt;"", AU108&lt;&gt;"対象外"), 1,"")</f>
        <v/>
      </c>
      <c r="AW108" s="838" t="str">
        <f>IFERROR("_"&amp;VLOOKUP(K108, 【参考】数式用２!$AG$2:$AH$48, 2, FALSE), "")</f>
        <v>_79</v>
      </c>
      <c r="AX108" s="1138" t="str">
        <f>IF(AND(P108="処遇改善加算Ⅰ", AL108=""), "未入力","入力済")</f>
        <v>入力済</v>
      </c>
      <c r="AY108" s="1120" t="str">
        <f>G108</f>
        <v>千代田区</v>
      </c>
      <c r="AZ108"/>
      <c r="BA108"/>
      <c r="BB108"/>
      <c r="BC108"/>
      <c r="BD108"/>
      <c r="BE108"/>
      <c r="BF108"/>
      <c r="BG108"/>
    </row>
    <row r="109" spans="1:59" ht="14.4">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4">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1111111132</v>
      </c>
      <c r="C112" s="1077"/>
      <c r="D112" s="1077"/>
      <c r="E112" s="1077"/>
      <c r="F112" s="1078"/>
      <c r="G112" s="1084" t="str">
        <f>IF(基本情報入力シート!L65="", "",基本情報入力シート!L65)</f>
        <v>千代田区</v>
      </c>
      <c r="H112" s="1084" t="str">
        <f>IF(基本情報入力シート!Q65="", "",基本情報入力シート!Q65)</f>
        <v>東京都</v>
      </c>
      <c r="I112" s="1084" t="str">
        <f>IF(基本情報入力シート!V65="", "",基本情報入力シート!V65)</f>
        <v>千代田区</v>
      </c>
      <c r="J112" s="1084" t="str">
        <f>IF(基本情報入力シート!W65="", "",基本情報入力シート!W65)</f>
        <v>○○GH</v>
      </c>
      <c r="K112" s="1084" t="str">
        <f>IF(基本情報入力シート!X65="", "",基本情報入力シート!X65)</f>
        <v>認知症対応型共同生活介護</v>
      </c>
      <c r="L112" s="1087">
        <f>IF(基本情報入力シート!AC65=0, "",基本情報入力シート!AC65)</f>
        <v>750000</v>
      </c>
      <c r="M112" s="1090">
        <f>IF(基本情報入力シート!AD65="", "",基本情報入力シート!AD65)</f>
        <v>10.9</v>
      </c>
      <c r="N112" s="1071" t="s">
        <v>485</v>
      </c>
      <c r="O112" s="1056">
        <f>IFERROR(VLOOKUP(K112,【参考】数式用２!$A$2:$AD$48,MATCH(N112,【参考】数式用２!$C$4:$AD$4,0)+2,0),"")</f>
        <v>0.125</v>
      </c>
      <c r="P112" s="1139" t="s">
        <v>476</v>
      </c>
      <c r="Q112" s="1142">
        <f>IFERROR(VLOOKUP(K112,【参考】数式用２!$A$2:$AC$48,MATCH(P112,【参考】数式用２!$C$4:$AC$4,0)+2,0),"")</f>
        <v>0.186</v>
      </c>
      <c r="R112" s="1145" t="s">
        <v>388</v>
      </c>
      <c r="S112" s="1148">
        <v>7</v>
      </c>
      <c r="T112" s="1065" t="s">
        <v>477</v>
      </c>
      <c r="U112" s="1148">
        <v>4</v>
      </c>
      <c r="V112" s="1065" t="s">
        <v>478</v>
      </c>
      <c r="W112" s="1148">
        <v>8</v>
      </c>
      <c r="X112" s="1065" t="s">
        <v>477</v>
      </c>
      <c r="Y112" s="1148">
        <v>3</v>
      </c>
      <c r="Z112" s="1065" t="s">
        <v>479</v>
      </c>
      <c r="AA112" s="1065" t="s">
        <v>291</v>
      </c>
      <c r="AB112" s="1065">
        <f>IF(S112&gt;=1,(W112*12+Y112)-(S112*12+U112)+1,"")</f>
        <v>12</v>
      </c>
      <c r="AC112" s="1068" t="s">
        <v>480</v>
      </c>
      <c r="AD112" s="1059">
        <f>IFERROR(ROUNDDOWN(ROUND(L112*Q112,0)*M112,0)*AB112,"")</f>
        <v>18246600</v>
      </c>
      <c r="AE112" s="1062">
        <f>IFERROR(ROUNDDOWN(ROUNDDOWN(ROUND(L112*VLOOKUP(K112,【参考】数式用２!$A$2:$AC$48,MATCH("処遇改善加算Ⅳ",【参考】数式用２!$C$4:$O$4,0)+2,0),0)*M112,0)*AB112*0.5,0), "")</f>
        <v>6131250</v>
      </c>
      <c r="AF112" s="1125" t="s">
        <v>47</v>
      </c>
      <c r="AG112" s="1059" t="str">
        <f>IF(AND(AQ112&lt;&gt;"対象外", P112&lt;&gt;""),ROUNDDOWN(ROUND(L112*VLOOKUP(K112,【参考】数式用２!$A$2:$K$48,MATCH("ベア加算あり",【参考】数式用２!$C$4:$K$4,0)+2,0),0)*M112,0)*AB112,"")</f>
        <v/>
      </c>
      <c r="AH112" s="1128"/>
      <c r="AI112" s="1125" t="s">
        <v>481</v>
      </c>
      <c r="AJ112" s="1125" t="s">
        <v>481</v>
      </c>
      <c r="AK112" s="1131">
        <v>1</v>
      </c>
      <c r="AL112" s="1134" t="s">
        <v>489</v>
      </c>
      <c r="AM112" s="690" t="str">
        <f t="shared" ref="AM112" si="72">IF(Q112="","",IF(Q112&lt;O112,"！加算の要件上は問題ありませんが、令和６年度末の加算率と比較して、令和７年度の加算率が低くなっています。",""))</f>
        <v/>
      </c>
      <c r="AN112" s="385"/>
      <c r="AO112" s="1120" t="str">
        <f>IF(K112&lt;&gt;"","Q列に色付け","")</f>
        <v>Q列に色付け</v>
      </c>
      <c r="AP112" s="1137" t="str">
        <f>IF(AND(AE112&lt;&gt;0,AE112&lt;&gt;""),IF(AF112="○","入力済","未入力"),"")</f>
        <v>入力済</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対象</v>
      </c>
      <c r="AV112" s="838">
        <f>IF(AND(P112&lt;&gt;"処遇改善加算Ⅲ",P112&lt;&gt;"処遇改善加算Ⅳ", P112&lt;&gt;"", AU112&lt;&gt;"対象外"), 1,"")</f>
        <v>1</v>
      </c>
      <c r="AW112" s="838" t="str">
        <f>IFERROR("_"&amp;VLOOKUP(K112, 【参考】数式用２!$AG$2:$AH$48, 2, FALSE), "")</f>
        <v>_32</v>
      </c>
      <c r="AX112" s="1138" t="str">
        <f>IF(AND(P112="処遇改善加算Ⅰ", AL112=""), "未入力","入力済")</f>
        <v>入力済</v>
      </c>
      <c r="AY112" s="1120" t="str">
        <f>G112</f>
        <v>千代田区</v>
      </c>
      <c r="AZ112"/>
      <c r="BA112"/>
      <c r="BB112"/>
      <c r="BC112"/>
      <c r="BD112"/>
      <c r="BE112"/>
      <c r="BF112"/>
      <c r="BG112"/>
    </row>
    <row r="113" spans="1:59" ht="14.4">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4">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1111111133</v>
      </c>
      <c r="C116" s="1077"/>
      <c r="D116" s="1077"/>
      <c r="E116" s="1077"/>
      <c r="F116" s="1078"/>
      <c r="G116" s="1084" t="str">
        <f>IF(基本情報入力シート!L66="", "",基本情報入力シート!L66)</f>
        <v>千代田区</v>
      </c>
      <c r="H116" s="1084" t="str">
        <f>IF(基本情報入力シート!Q66="", "",基本情報入力シート!Q66)</f>
        <v>東京都</v>
      </c>
      <c r="I116" s="1084" t="str">
        <f>IF(基本情報入力シート!V66="", "",基本情報入力シート!V66)</f>
        <v>千代田区</v>
      </c>
      <c r="J116" s="1084" t="str">
        <f>IF(基本情報入力シート!W66="", "",基本情報入力シート!W66)</f>
        <v>○○GH</v>
      </c>
      <c r="K116" s="1084" t="str">
        <f>IF(基本情報入力シート!X66="", "",基本情報入力シート!X66)</f>
        <v>認知症対応型共同生活介護（短期利用型）</v>
      </c>
      <c r="L116" s="1087">
        <f>IF(基本情報入力シート!AC66=0, "",基本情報入力シート!AC66)</f>
        <v>750000</v>
      </c>
      <c r="M116" s="1090">
        <f>IF(基本情報入力シート!AD66="", "",基本情報入力シート!AD66)</f>
        <v>10.9</v>
      </c>
      <c r="N116" s="1071" t="s">
        <v>485</v>
      </c>
      <c r="O116" s="1056">
        <f>IFERROR(VLOOKUP(K116,【参考】数式用２!$A$2:$AD$48,MATCH(N116,【参考】数式用２!$C$4:$AD$4,0)+2,0),"")</f>
        <v>0.125</v>
      </c>
      <c r="P116" s="1139" t="s">
        <v>476</v>
      </c>
      <c r="Q116" s="1142">
        <f>IFERROR(VLOOKUP(K116,【参考】数式用２!$A$2:$AC$48,MATCH(P116,【参考】数式用２!$C$4:$AC$4,0)+2,0),"")</f>
        <v>0.186</v>
      </c>
      <c r="R116" s="1145" t="s">
        <v>388</v>
      </c>
      <c r="S116" s="1148">
        <v>7</v>
      </c>
      <c r="T116" s="1065" t="s">
        <v>477</v>
      </c>
      <c r="U116" s="1148">
        <v>4</v>
      </c>
      <c r="V116" s="1065" t="s">
        <v>478</v>
      </c>
      <c r="W116" s="1148">
        <v>8</v>
      </c>
      <c r="X116" s="1065" t="s">
        <v>477</v>
      </c>
      <c r="Y116" s="1148">
        <v>3</v>
      </c>
      <c r="Z116" s="1065" t="s">
        <v>479</v>
      </c>
      <c r="AA116" s="1065" t="s">
        <v>291</v>
      </c>
      <c r="AB116" s="1065">
        <f>IF(S116&gt;=1,(W116*12+Y116)-(S116*12+U116)+1,"")</f>
        <v>12</v>
      </c>
      <c r="AC116" s="1068" t="s">
        <v>480</v>
      </c>
      <c r="AD116" s="1059">
        <f>IFERROR(ROUNDDOWN(ROUND(L116*Q116,0)*M116,0)*AB116,"")</f>
        <v>18246600</v>
      </c>
      <c r="AE116" s="1062">
        <f>IFERROR(ROUNDDOWN(ROUNDDOWN(ROUND(L116*VLOOKUP(K116,【参考】数式用２!$A$2:$AC$48,MATCH("処遇改善加算Ⅳ",【参考】数式用２!$C$4:$O$4,0)+2,0),0)*M116,0)*AB116*0.5,0), "")</f>
        <v>6131250</v>
      </c>
      <c r="AF116" s="1125" t="s">
        <v>47</v>
      </c>
      <c r="AG116" s="1059" t="str">
        <f>IF(AND(AQ116&lt;&gt;"対象外", P116&lt;&gt;""),ROUNDDOWN(ROUND(L116*VLOOKUP(K116,【参考】数式用２!$A$2:$K$48,MATCH("ベア加算あり",【参考】数式用２!$C$4:$K$4,0)+2,0),0)*M116,0)*AB116,"")</f>
        <v/>
      </c>
      <c r="AH116" s="1128"/>
      <c r="AI116" s="1125" t="s">
        <v>47</v>
      </c>
      <c r="AJ116" s="1125" t="s">
        <v>481</v>
      </c>
      <c r="AK116" s="1131"/>
      <c r="AL116" s="1134" t="s">
        <v>489</v>
      </c>
      <c r="AM116" s="690" t="str">
        <f t="shared" ref="AM116" si="75">IF(Q116="","",IF(Q116&lt;O116,"！加算の要件上は問題ありませんが、令和６年度末の加算率と比較して、令和７年度の加算率が低くなっています。",""))</f>
        <v/>
      </c>
      <c r="AN116" s="385"/>
      <c r="AO116" s="1120" t="str">
        <f>IF(K116&lt;&gt;"","Q列に色付け","")</f>
        <v>Q列に色付け</v>
      </c>
      <c r="AP116" s="1137" t="str">
        <f>IF(AND(AE116&lt;&gt;0,AE116&lt;&gt;""),IF(AF116="○","入力済","未入力"),"")</f>
        <v>入力済</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対象外</v>
      </c>
      <c r="AV116" s="838" t="str">
        <f>IF(AND(P116&lt;&gt;"処遇改善加算Ⅲ",P116&lt;&gt;"処遇改善加算Ⅳ", P116&lt;&gt;"", AU116&lt;&gt;"対象外"), 1,"")</f>
        <v/>
      </c>
      <c r="AW116" s="838" t="str">
        <f>IFERROR("_"&amp;VLOOKUP(K116, 【参考】数式用２!$AG$2:$AH$48, 2, FALSE), "")</f>
        <v>_38</v>
      </c>
      <c r="AX116" s="1138" t="str">
        <f>IF(AND(P116="処遇改善加算Ⅰ", AL116=""), "未入力","入力済")</f>
        <v>入力済</v>
      </c>
      <c r="AY116" s="1120" t="str">
        <f>G116</f>
        <v>千代田区</v>
      </c>
      <c r="AZ116"/>
      <c r="BA116"/>
      <c r="BB116"/>
      <c r="BC116"/>
      <c r="BD116"/>
      <c r="BE116"/>
      <c r="BF116"/>
      <c r="BG116"/>
    </row>
    <row r="117" spans="1:59" ht="14.4">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4">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1111111134</v>
      </c>
      <c r="C120" s="1077"/>
      <c r="D120" s="1077"/>
      <c r="E120" s="1077"/>
      <c r="F120" s="1078"/>
      <c r="G120" s="1084" t="str">
        <f>IF(基本情報入力シート!L67="", "",基本情報入力シート!L67)</f>
        <v>千代田区</v>
      </c>
      <c r="H120" s="1084" t="str">
        <f>IF(基本情報入力シート!Q67="", "",基本情報入力シート!Q67)</f>
        <v>東京都</v>
      </c>
      <c r="I120" s="1084" t="str">
        <f>IF(基本情報入力シート!V67="", "",基本情報入力シート!V67)</f>
        <v>千代田区</v>
      </c>
      <c r="J120" s="1084" t="str">
        <f>IF(基本情報入力シート!W67="", "",基本情報入力シート!W67)</f>
        <v>○○GH</v>
      </c>
      <c r="K120" s="1084" t="str">
        <f>IF(基本情報入力シート!X67="", "",基本情報入力シート!X67)</f>
        <v>介護予防認知症対応型共同生活介護</v>
      </c>
      <c r="L120" s="1087">
        <f>IF(基本情報入力シート!AC67=0, "",基本情報入力シート!AC67)</f>
        <v>750000</v>
      </c>
      <c r="M120" s="1090">
        <f>IF(基本情報入力シート!AD67="", "",基本情報入力シート!AD67)</f>
        <v>10.9</v>
      </c>
      <c r="N120" s="1071" t="s">
        <v>485</v>
      </c>
      <c r="O120" s="1056">
        <f>IFERROR(VLOOKUP(K120,【参考】数式用２!$A$2:$AD$48,MATCH(N120,【参考】数式用２!$C$4:$AD$4,0)+2,0),"")</f>
        <v>0.125</v>
      </c>
      <c r="P120" s="1139" t="s">
        <v>476</v>
      </c>
      <c r="Q120" s="1142">
        <f>IFERROR(VLOOKUP(K120,【参考】数式用２!$A$2:$AC$48,MATCH(P120,【参考】数式用２!$C$4:$AC$4,0)+2,0),"")</f>
        <v>0.186</v>
      </c>
      <c r="R120" s="1145" t="s">
        <v>388</v>
      </c>
      <c r="S120" s="1148">
        <v>7</v>
      </c>
      <c r="T120" s="1065" t="s">
        <v>477</v>
      </c>
      <c r="U120" s="1148">
        <v>4</v>
      </c>
      <c r="V120" s="1065" t="s">
        <v>478</v>
      </c>
      <c r="W120" s="1148">
        <v>8</v>
      </c>
      <c r="X120" s="1065" t="s">
        <v>477</v>
      </c>
      <c r="Y120" s="1148">
        <v>3</v>
      </c>
      <c r="Z120" s="1065" t="s">
        <v>479</v>
      </c>
      <c r="AA120" s="1065" t="s">
        <v>291</v>
      </c>
      <c r="AB120" s="1065">
        <f>IF(S120&gt;=1,(W120*12+Y120)-(S120*12+U120)+1,"")</f>
        <v>12</v>
      </c>
      <c r="AC120" s="1068" t="s">
        <v>480</v>
      </c>
      <c r="AD120" s="1059">
        <f>IFERROR(ROUNDDOWN(ROUND(L120*Q120,0)*M120,0)*AB120,"")</f>
        <v>18246600</v>
      </c>
      <c r="AE120" s="1062">
        <f>IFERROR(ROUNDDOWN(ROUNDDOWN(ROUND(L120*VLOOKUP(K120,【参考】数式用２!$A$2:$AC$48,MATCH("処遇改善加算Ⅳ",【参考】数式用２!$C$4:$O$4,0)+2,0),0)*M120,0)*AB120*0.5,0), "")</f>
        <v>6131250</v>
      </c>
      <c r="AF120" s="1125" t="s">
        <v>47</v>
      </c>
      <c r="AG120" s="1059" t="str">
        <f>IF(AND(AQ120&lt;&gt;"対象外", P120&lt;&gt;""),ROUNDDOWN(ROUND(L120*VLOOKUP(K120,【参考】数式用２!$A$2:$K$48,MATCH("ベア加算あり",【参考】数式用２!$C$4:$K$4,0)+2,0),0)*M120,0)*AB120,"")</f>
        <v/>
      </c>
      <c r="AH120" s="1128"/>
      <c r="AI120" s="1125" t="s">
        <v>47</v>
      </c>
      <c r="AJ120" s="1125" t="s">
        <v>47</v>
      </c>
      <c r="AK120" s="1131"/>
      <c r="AL120" s="1134" t="s">
        <v>489</v>
      </c>
      <c r="AM120" s="690" t="str">
        <f t="shared" ref="AM120" si="78">IF(Q120="","",IF(Q120&lt;O120,"！加算の要件上は問題ありませんが、令和６年度末の加算率と比較して、令和７年度の加算率が低くなっています。",""))</f>
        <v/>
      </c>
      <c r="AN120" s="385"/>
      <c r="AO120" s="1120" t="str">
        <f>IF(K120&lt;&gt;"","Q列に色付け","")</f>
        <v>Q列に色付け</v>
      </c>
      <c r="AP120" s="1137" t="str">
        <f>IF(AND(AE120&lt;&gt;0,AE120&lt;&gt;""),IF(AF120="○","入力済","未入力"),"")</f>
        <v>入力済</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対象外</v>
      </c>
      <c r="AV120" s="838" t="str">
        <f>IF(AND(P120&lt;&gt;"処遇改善加算Ⅲ",P120&lt;&gt;"処遇改善加算Ⅳ", P120&lt;&gt;"", AU120&lt;&gt;"対象外"), 1,"")</f>
        <v/>
      </c>
      <c r="AW120" s="838" t="str">
        <f>IFERROR("_"&amp;VLOOKUP(K120, 【参考】数式用２!$AG$2:$AH$48, 2, FALSE), "")</f>
        <v>_37</v>
      </c>
      <c r="AX120" s="1138" t="str">
        <f>IF(AND(P120="処遇改善加算Ⅰ", AL120=""), "未入力","入力済")</f>
        <v>入力済</v>
      </c>
      <c r="AY120" s="1120" t="str">
        <f>G120</f>
        <v>千代田区</v>
      </c>
      <c r="AZ120"/>
      <c r="BA120"/>
      <c r="BB120"/>
      <c r="BC120"/>
      <c r="BD120"/>
      <c r="BE120"/>
      <c r="BF120"/>
      <c r="BG120"/>
    </row>
    <row r="121" spans="1:59" ht="14.4">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4">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1111111135</v>
      </c>
      <c r="C124" s="1077"/>
      <c r="D124" s="1077"/>
      <c r="E124" s="1077"/>
      <c r="F124" s="1078"/>
      <c r="G124" s="1084" t="str">
        <f>IF(基本情報入力シート!L68="", "",基本情報入力シート!L68)</f>
        <v>千代田区</v>
      </c>
      <c r="H124" s="1084" t="str">
        <f>IF(基本情報入力シート!Q68="", "",基本情報入力シート!Q68)</f>
        <v>東京都</v>
      </c>
      <c r="I124" s="1084" t="str">
        <f>IF(基本情報入力シート!V68="", "",基本情報入力シート!V68)</f>
        <v>千代田区</v>
      </c>
      <c r="J124" s="1084" t="str">
        <f>IF(基本情報入力シート!W68="", "",基本情報入力シート!W68)</f>
        <v>○○GH</v>
      </c>
      <c r="K124" s="1084" t="str">
        <f>IF(基本情報入力シート!X68="", "",基本情報入力シート!X68)</f>
        <v>介護予防認知症対応型共同生活介護（短期利用型）</v>
      </c>
      <c r="L124" s="1087">
        <f>IF(基本情報入力シート!AC68=0, "",基本情報入力シート!AC68)</f>
        <v>750000</v>
      </c>
      <c r="M124" s="1090">
        <f>IF(基本情報入力シート!AD68="", "",基本情報入力シート!AD68)</f>
        <v>10.9</v>
      </c>
      <c r="N124" s="1071" t="s">
        <v>485</v>
      </c>
      <c r="O124" s="1056">
        <f>IFERROR(VLOOKUP(K124,【参考】数式用２!$A$2:$AD$48,MATCH(N124,【参考】数式用２!$C$4:$AD$4,0)+2,0),"")</f>
        <v>0.125</v>
      </c>
      <c r="P124" s="1139" t="s">
        <v>476</v>
      </c>
      <c r="Q124" s="1142">
        <f>IFERROR(VLOOKUP(K124,【参考】数式用２!$A$2:$AC$48,MATCH(P124,【参考】数式用２!$C$4:$AC$4,0)+2,0),"")</f>
        <v>0.186</v>
      </c>
      <c r="R124" s="1145" t="s">
        <v>388</v>
      </c>
      <c r="S124" s="1148">
        <v>7</v>
      </c>
      <c r="T124" s="1065" t="s">
        <v>477</v>
      </c>
      <c r="U124" s="1148">
        <v>4</v>
      </c>
      <c r="V124" s="1065" t="s">
        <v>478</v>
      </c>
      <c r="W124" s="1148">
        <v>8</v>
      </c>
      <c r="X124" s="1065" t="s">
        <v>477</v>
      </c>
      <c r="Y124" s="1148">
        <v>3</v>
      </c>
      <c r="Z124" s="1065" t="s">
        <v>479</v>
      </c>
      <c r="AA124" s="1065" t="s">
        <v>291</v>
      </c>
      <c r="AB124" s="1065">
        <f>IF(S124&gt;=1,(W124*12+Y124)-(S124*12+U124)+1,"")</f>
        <v>12</v>
      </c>
      <c r="AC124" s="1068" t="s">
        <v>480</v>
      </c>
      <c r="AD124" s="1059">
        <f>IFERROR(ROUNDDOWN(ROUND(L124*Q124,0)*M124,0)*AB124,"")</f>
        <v>18246600</v>
      </c>
      <c r="AE124" s="1062">
        <f>IFERROR(ROUNDDOWN(ROUNDDOWN(ROUND(L124*VLOOKUP(K124,【参考】数式用２!$A$2:$AC$48,MATCH("処遇改善加算Ⅳ",【参考】数式用２!$C$4:$O$4,0)+2,0),0)*M124,0)*AB124*0.5,0), "")</f>
        <v>6131250</v>
      </c>
      <c r="AF124" s="1125" t="s">
        <v>47</v>
      </c>
      <c r="AG124" s="1059" t="str">
        <f>IF(AND(AQ124&lt;&gt;"対象外", P124&lt;&gt;""),ROUNDDOWN(ROUND(L124*VLOOKUP(K124,【参考】数式用２!$A$2:$K$48,MATCH("ベア加算あり",【参考】数式用２!$C$4:$K$4,0)+2,0),0)*M124,0)*AB124,"")</f>
        <v/>
      </c>
      <c r="AH124" s="1128"/>
      <c r="AI124" s="1125" t="s">
        <v>481</v>
      </c>
      <c r="AJ124" s="1125" t="s">
        <v>481</v>
      </c>
      <c r="AK124" s="1131"/>
      <c r="AL124" s="1134" t="s">
        <v>489</v>
      </c>
      <c r="AM124" s="690" t="str">
        <f t="shared" ref="AM124" si="81">IF(Q124="","",IF(Q124&lt;O124,"！加算の要件上は問題ありませんが、令和６年度末の加算率と比較して、令和７年度の加算率が低くなっています。",""))</f>
        <v/>
      </c>
      <c r="AN124" s="385"/>
      <c r="AO124" s="1120" t="str">
        <f>IF(K124&lt;&gt;"","Q列に色付け","")</f>
        <v>Q列に色付け</v>
      </c>
      <c r="AP124" s="1137" t="str">
        <f>IF(AND(AE124&lt;&gt;0,AE124&lt;&gt;""),IF(AF124="○","入力済","未入力"),"")</f>
        <v>入力済</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対象外</v>
      </c>
      <c r="AV124" s="838" t="str">
        <f>IF(AND(P124&lt;&gt;"処遇改善加算Ⅲ",P124&lt;&gt;"処遇改善加算Ⅳ", P124&lt;&gt;"", AU124&lt;&gt;"対象外"), 1,"")</f>
        <v/>
      </c>
      <c r="AW124" s="838" t="str">
        <f>IFERROR("_"&amp;VLOOKUP(K124, 【参考】数式用２!$AG$2:$AH$48, 2, FALSE), "")</f>
        <v>_39</v>
      </c>
      <c r="AX124" s="1138" t="str">
        <f>IF(AND(P124="処遇改善加算Ⅰ", AL124=""), "未入力","入力済")</f>
        <v>入力済</v>
      </c>
      <c r="AY124" s="1120" t="str">
        <f>G124</f>
        <v>千代田区</v>
      </c>
      <c r="AZ124"/>
      <c r="BA124"/>
      <c r="BB124"/>
      <c r="BC124"/>
      <c r="BD124"/>
      <c r="BE124"/>
      <c r="BF124"/>
      <c r="BG124"/>
    </row>
    <row r="125" spans="1:59" ht="14.4">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4">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1111111136</v>
      </c>
      <c r="C128" s="1077"/>
      <c r="D128" s="1077"/>
      <c r="E128" s="1077"/>
      <c r="F128" s="1078"/>
      <c r="G128" s="1084" t="str">
        <f>IF(基本情報入力シート!L69="", "",基本情報入力シート!L69)</f>
        <v>東京都</v>
      </c>
      <c r="H128" s="1084" t="str">
        <f>IF(基本情報入力シート!Q69="", "",基本情報入力シート!Q69)</f>
        <v>東京都</v>
      </c>
      <c r="I128" s="1084" t="str">
        <f>IF(基本情報入力シート!V69="", "",基本情報入力シート!V69)</f>
        <v>千代田区</v>
      </c>
      <c r="J128" s="1084" t="str">
        <f>IF(基本情報入力シート!W69="", "",基本情報入力シート!W69)</f>
        <v>○○施設</v>
      </c>
      <c r="K128" s="1084" t="str">
        <f>IF(基本情報入力シート!X69="", "",基本情報入力シート!X69)</f>
        <v>介護老人福祉施設サービス</v>
      </c>
      <c r="L128" s="1087">
        <f>IF(基本情報入力シート!AC69=0, "",基本情報入力シート!AC69)</f>
        <v>750000</v>
      </c>
      <c r="M128" s="1090">
        <f>IF(基本情報入力シート!AD69="", "",基本情報入力シート!AD69)</f>
        <v>10.9</v>
      </c>
      <c r="N128" s="1071" t="s">
        <v>485</v>
      </c>
      <c r="O128" s="1056">
        <f>IFERROR(VLOOKUP(K128,【参考】数式用２!$A$2:$AD$48,MATCH(N128,【参考】数式用２!$C$4:$AD$4,0)+2,0),"")</f>
        <v>0.09</v>
      </c>
      <c r="P128" s="1139" t="s">
        <v>476</v>
      </c>
      <c r="Q128" s="1142">
        <f>IFERROR(VLOOKUP(K128,【参考】数式用２!$A$2:$AC$48,MATCH(P128,【参考】数式用２!$C$4:$AC$4,0)+2,0),"")</f>
        <v>0.14000000000000001</v>
      </c>
      <c r="R128" s="1145" t="s">
        <v>388</v>
      </c>
      <c r="S128" s="1148">
        <v>7</v>
      </c>
      <c r="T128" s="1065" t="s">
        <v>477</v>
      </c>
      <c r="U128" s="1148">
        <v>4</v>
      </c>
      <c r="V128" s="1065" t="s">
        <v>478</v>
      </c>
      <c r="W128" s="1148">
        <v>8</v>
      </c>
      <c r="X128" s="1065" t="s">
        <v>477</v>
      </c>
      <c r="Y128" s="1148">
        <v>3</v>
      </c>
      <c r="Z128" s="1065" t="s">
        <v>479</v>
      </c>
      <c r="AA128" s="1065" t="s">
        <v>291</v>
      </c>
      <c r="AB128" s="1065">
        <f>IF(S128&gt;=1,(W128*12+Y128)-(S128*12+U128)+1,"")</f>
        <v>12</v>
      </c>
      <c r="AC128" s="1068" t="s">
        <v>480</v>
      </c>
      <c r="AD128" s="1059">
        <f>IFERROR(ROUNDDOWN(ROUND(L128*Q128,0)*M128,0)*AB128,"")</f>
        <v>13734000</v>
      </c>
      <c r="AE128" s="1062">
        <f>IFERROR(ROUNDDOWN(ROUNDDOWN(ROUND(L128*VLOOKUP(K128,【参考】数式用２!$A$2:$AC$48,MATCH("処遇改善加算Ⅳ",【参考】数式用２!$C$4:$O$4,0)+2,0),0)*M128,0)*AB128*0.5,0), "")</f>
        <v>4414500</v>
      </c>
      <c r="AF128" s="1125" t="s">
        <v>47</v>
      </c>
      <c r="AG128" s="1059" t="str">
        <f>IF(AND(AQ128&lt;&gt;"対象外", P128&lt;&gt;""),ROUNDDOWN(ROUND(L128*VLOOKUP(K128,【参考】数式用２!$A$2:$K$48,MATCH("ベア加算あり",【参考】数式用２!$C$4:$K$4,0)+2,0),0)*M128,0)*AB128,"")</f>
        <v/>
      </c>
      <c r="AH128" s="1128"/>
      <c r="AI128" s="1125" t="s">
        <v>481</v>
      </c>
      <c r="AJ128" s="1125" t="s">
        <v>481</v>
      </c>
      <c r="AK128" s="1131">
        <v>1</v>
      </c>
      <c r="AL128" s="1134" t="s">
        <v>489</v>
      </c>
      <c r="AM128" s="690" t="str">
        <f t="shared" ref="AM128" si="84">IF(Q128="","",IF(Q128&lt;O128,"！加算の要件上は問題ありませんが、令和６年度末の加算率と比較して、令和７年度の加算率が低くなっています。",""))</f>
        <v/>
      </c>
      <c r="AN128" s="385"/>
      <c r="AO128" s="1120" t="str">
        <f>IF(K128&lt;&gt;"","Q列に色付け","")</f>
        <v>Q列に色付け</v>
      </c>
      <c r="AP128" s="1137" t="str">
        <f>IF(AND(AE128&lt;&gt;0,AE128&lt;&gt;""),IF(AF128="○","入力済","未入力"),"")</f>
        <v>入力済</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対象</v>
      </c>
      <c r="AV128" s="838">
        <f>IF(AND(P128&lt;&gt;"処遇改善加算Ⅲ",P128&lt;&gt;"処遇改善加算Ⅳ", P128&lt;&gt;"", AU128&lt;&gt;"対象外"), 1,"")</f>
        <v>1</v>
      </c>
      <c r="AW128" s="838" t="str">
        <f>IFERROR("_"&amp;VLOOKUP(K128, 【参考】数式用２!$AG$2:$AH$48, 2, FALSE), "")</f>
        <v>_51</v>
      </c>
      <c r="AX128" s="1138" t="str">
        <f>IF(AND(P128="処遇改善加算Ⅰ", AL128=""), "未入力","入力済")</f>
        <v>入力済</v>
      </c>
      <c r="AY128" s="1120" t="str">
        <f>G128</f>
        <v>東京都</v>
      </c>
      <c r="AZ128"/>
      <c r="BA128"/>
      <c r="BB128"/>
      <c r="BC128"/>
      <c r="BD128"/>
      <c r="BE128"/>
      <c r="BF128"/>
      <c r="BG128"/>
    </row>
    <row r="129" spans="1:59" ht="14.4">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4">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1111111137</v>
      </c>
      <c r="C132" s="1077"/>
      <c r="D132" s="1077"/>
      <c r="E132" s="1077"/>
      <c r="F132" s="1078"/>
      <c r="G132" s="1084" t="str">
        <f>IF(基本情報入力シート!L70="", "",基本情報入力シート!L70)</f>
        <v>千代田区</v>
      </c>
      <c r="H132" s="1084" t="str">
        <f>IF(基本情報入力シート!Q70="", "",基本情報入力シート!Q70)</f>
        <v>東京都</v>
      </c>
      <c r="I132" s="1084" t="str">
        <f>IF(基本情報入力シート!V70="", "",基本情報入力シート!V70)</f>
        <v>千代田区</v>
      </c>
      <c r="J132" s="1084" t="str">
        <f>IF(基本情報入力シート!W70="", "",基本情報入力シート!W70)</f>
        <v>○○施設</v>
      </c>
      <c r="K132" s="1084" t="str">
        <f>IF(基本情報入力シート!X70="", "",基本情報入力シート!X70)</f>
        <v>地域密着型介護老人福祉施設</v>
      </c>
      <c r="L132" s="1087">
        <f>IF(基本情報入力シート!AC70=0, "",基本情報入力シート!AC70)</f>
        <v>750000</v>
      </c>
      <c r="M132" s="1090">
        <f>IF(基本情報入力シート!AD70="", "",基本情報入力シート!AD70)</f>
        <v>10.9</v>
      </c>
      <c r="N132" s="1071" t="s">
        <v>485</v>
      </c>
      <c r="O132" s="1056">
        <f>IFERROR(VLOOKUP(K132,【参考】数式用２!$A$2:$AD$48,MATCH(N132,【参考】数式用２!$C$4:$AD$4,0)+2,0),"")</f>
        <v>0.09</v>
      </c>
      <c r="P132" s="1139" t="s">
        <v>476</v>
      </c>
      <c r="Q132" s="1142">
        <f>IFERROR(VLOOKUP(K132,【参考】数式用２!$A$2:$AC$48,MATCH(P132,【参考】数式用２!$C$4:$AC$4,0)+2,0),"")</f>
        <v>0.14000000000000001</v>
      </c>
      <c r="R132" s="1145" t="s">
        <v>388</v>
      </c>
      <c r="S132" s="1148">
        <v>7</v>
      </c>
      <c r="T132" s="1065" t="s">
        <v>477</v>
      </c>
      <c r="U132" s="1148">
        <v>4</v>
      </c>
      <c r="V132" s="1065" t="s">
        <v>478</v>
      </c>
      <c r="W132" s="1148">
        <v>8</v>
      </c>
      <c r="X132" s="1065" t="s">
        <v>477</v>
      </c>
      <c r="Y132" s="1148">
        <v>3</v>
      </c>
      <c r="Z132" s="1065" t="s">
        <v>479</v>
      </c>
      <c r="AA132" s="1065" t="s">
        <v>291</v>
      </c>
      <c r="AB132" s="1065">
        <f>IF(S132&gt;=1,(W132*12+Y132)-(S132*12+U132)+1,"")</f>
        <v>12</v>
      </c>
      <c r="AC132" s="1068" t="s">
        <v>480</v>
      </c>
      <c r="AD132" s="1059">
        <f>IFERROR(ROUNDDOWN(ROUND(L132*Q132,0)*M132,0)*AB132,"")</f>
        <v>13734000</v>
      </c>
      <c r="AE132" s="1062">
        <f>IFERROR(ROUNDDOWN(ROUNDDOWN(ROUND(L132*VLOOKUP(K132,【参考】数式用２!$A$2:$AC$48,MATCH("処遇改善加算Ⅳ",【参考】数式用２!$C$4:$O$4,0)+2,0),0)*M132,0)*AB132*0.5,0), "")</f>
        <v>4414500</v>
      </c>
      <c r="AF132" s="1125" t="s">
        <v>47</v>
      </c>
      <c r="AG132" s="1059" t="str">
        <f>IF(AND(AQ132&lt;&gt;"対象外", P132&lt;&gt;""),ROUNDDOWN(ROUND(L132*VLOOKUP(K132,【参考】数式用２!$A$2:$K$48,MATCH("ベア加算あり",【参考】数式用２!$C$4:$K$4,0)+2,0),0)*M132,0)*AB132,"")</f>
        <v/>
      </c>
      <c r="AH132" s="1128"/>
      <c r="AI132" s="1125" t="s">
        <v>47</v>
      </c>
      <c r="AJ132" s="1125" t="s">
        <v>47</v>
      </c>
      <c r="AK132" s="1131">
        <v>1</v>
      </c>
      <c r="AL132" s="1134" t="s">
        <v>489</v>
      </c>
      <c r="AM132" s="690" t="str">
        <f t="shared" ref="AM132" si="87">IF(Q132="","",IF(Q132&lt;O132,"！加算の要件上は問題ありませんが、令和６年度末の加算率と比較して、令和７年度の加算率が低くなっています。",""))</f>
        <v/>
      </c>
      <c r="AN132" s="385"/>
      <c r="AO132" s="1120" t="str">
        <f>IF(K132&lt;&gt;"","Q列に色付け","")</f>
        <v>Q列に色付け</v>
      </c>
      <c r="AP132" s="1137" t="str">
        <f>IF(AND(AE132&lt;&gt;0,AE132&lt;&gt;""),IF(AF132="○","入力済","未入力"),"")</f>
        <v>入力済</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対象</v>
      </c>
      <c r="AV132" s="838">
        <f>IF(AND(P132&lt;&gt;"処遇改善加算Ⅲ",P132&lt;&gt;"処遇改善加算Ⅳ", P132&lt;&gt;"", AU132&lt;&gt;"対象外"), 1,"")</f>
        <v>1</v>
      </c>
      <c r="AW132" s="838" t="str">
        <f>IFERROR("_"&amp;VLOOKUP(K132, 【参考】数式用２!$AG$2:$AH$48, 2, FALSE), "")</f>
        <v>_54</v>
      </c>
      <c r="AX132" s="1138" t="str">
        <f>IF(AND(P132="処遇改善加算Ⅰ", AL132=""), "未入力","入力済")</f>
        <v>入力済</v>
      </c>
      <c r="AY132" s="1120" t="str">
        <f>G132</f>
        <v>千代田区</v>
      </c>
      <c r="AZ132"/>
      <c r="BA132"/>
      <c r="BB132"/>
      <c r="BC132"/>
      <c r="BD132"/>
      <c r="BE132"/>
      <c r="BF132"/>
      <c r="BG132"/>
    </row>
    <row r="133" spans="1:59" ht="14.4">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4">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1111111138</v>
      </c>
      <c r="C136" s="1077"/>
      <c r="D136" s="1077"/>
      <c r="E136" s="1077"/>
      <c r="F136" s="1078"/>
      <c r="G136" s="1084" t="str">
        <f>IF(基本情報入力シート!L71="", "",基本情報入力シート!L71)</f>
        <v>東京都</v>
      </c>
      <c r="H136" s="1084" t="str">
        <f>IF(基本情報入力シート!Q71="", "",基本情報入力シート!Q71)</f>
        <v>東京都</v>
      </c>
      <c r="I136" s="1084" t="str">
        <f>IF(基本情報入力シート!V71="", "",基本情報入力シート!V71)</f>
        <v>千代田区</v>
      </c>
      <c r="J136" s="1084" t="str">
        <f>IF(基本情報入力シート!W71="", "",基本情報入力シート!W71)</f>
        <v>○○施設</v>
      </c>
      <c r="K136" s="1084" t="str">
        <f>IF(基本情報入力シート!X71="", "",基本情報入力シート!X71)</f>
        <v>短期入所生活介護</v>
      </c>
      <c r="L136" s="1087">
        <f>IF(基本情報入力シート!AC71=0, "",基本情報入力シート!AC71)</f>
        <v>750000</v>
      </c>
      <c r="M136" s="1090">
        <f>IF(基本情報入力シート!AD71="", "",基本情報入力シート!AD71)</f>
        <v>11.1</v>
      </c>
      <c r="N136" s="1071" t="s">
        <v>485</v>
      </c>
      <c r="O136" s="1056">
        <f>IFERROR(VLOOKUP(K136,【参考】数式用２!$A$2:$AD$48,MATCH(N136,【参考】数式用２!$C$4:$AD$4,0)+2,0),"")</f>
        <v>0.09</v>
      </c>
      <c r="P136" s="1139" t="s">
        <v>476</v>
      </c>
      <c r="Q136" s="1142">
        <f>IFERROR(VLOOKUP(K136,【参考】数式用２!$A$2:$AC$48,MATCH(P136,【参考】数式用２!$C$4:$AC$4,0)+2,0),"")</f>
        <v>0.14000000000000001</v>
      </c>
      <c r="R136" s="1145" t="s">
        <v>388</v>
      </c>
      <c r="S136" s="1148">
        <v>7</v>
      </c>
      <c r="T136" s="1065" t="s">
        <v>477</v>
      </c>
      <c r="U136" s="1148">
        <v>4</v>
      </c>
      <c r="V136" s="1065" t="s">
        <v>478</v>
      </c>
      <c r="W136" s="1148">
        <v>8</v>
      </c>
      <c r="X136" s="1065" t="s">
        <v>477</v>
      </c>
      <c r="Y136" s="1148">
        <v>3</v>
      </c>
      <c r="Z136" s="1065" t="s">
        <v>479</v>
      </c>
      <c r="AA136" s="1065" t="s">
        <v>291</v>
      </c>
      <c r="AB136" s="1065">
        <f>IF(S136&gt;=1,(W136*12+Y136)-(S136*12+U136)+1,"")</f>
        <v>12</v>
      </c>
      <c r="AC136" s="1068" t="s">
        <v>480</v>
      </c>
      <c r="AD136" s="1059">
        <f>IFERROR(ROUNDDOWN(ROUND(L136*Q136,0)*M136,0)*AB136,"")</f>
        <v>13986000</v>
      </c>
      <c r="AE136" s="1062">
        <f>IFERROR(ROUNDDOWN(ROUNDDOWN(ROUND(L136*VLOOKUP(K136,【参考】数式用２!$A$2:$AC$48,MATCH("処遇改善加算Ⅳ",【参考】数式用２!$C$4:$O$4,0)+2,0),0)*M136,0)*AB136*0.5,0), "")</f>
        <v>4495500</v>
      </c>
      <c r="AF136" s="1125" t="s">
        <v>47</v>
      </c>
      <c r="AG136" s="1059" t="str">
        <f>IF(AND(AQ136&lt;&gt;"対象外", P136&lt;&gt;""),ROUNDDOWN(ROUND(L136*VLOOKUP(K136,【参考】数式用２!$A$2:$K$48,MATCH("ベア加算あり",【参考】数式用２!$C$4:$K$4,0)+2,0),0)*M136,0)*AB136,"")</f>
        <v/>
      </c>
      <c r="AH136" s="1128"/>
      <c r="AI136" s="1125" t="s">
        <v>47</v>
      </c>
      <c r="AJ136" s="1125" t="s">
        <v>481</v>
      </c>
      <c r="AK136" s="1131"/>
      <c r="AL136" s="1134" t="s">
        <v>489</v>
      </c>
      <c r="AM136" s="690" t="str">
        <f t="shared" ref="AM136" si="90">IF(Q136="","",IF(Q136&lt;O136,"！加算の要件上は問題ありませんが、令和６年度末の加算率と比較して、令和７年度の加算率が低くなっています。",""))</f>
        <v/>
      </c>
      <c r="AN136" s="385"/>
      <c r="AO136" s="1120" t="str">
        <f>IF(K136&lt;&gt;"","Q列に色付け","")</f>
        <v>Q列に色付け</v>
      </c>
      <c r="AP136" s="1137" t="str">
        <f>IF(AND(AE136&lt;&gt;0,AE136&lt;&gt;""),IF(AF136="○","入力済","未入力"),"")</f>
        <v>入力済</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対象外</v>
      </c>
      <c r="AV136" s="838" t="str">
        <f>IF(AND(P136&lt;&gt;"処遇改善加算Ⅲ",P136&lt;&gt;"処遇改善加算Ⅳ", P136&lt;&gt;"", AU136&lt;&gt;"対象外"), 1,"")</f>
        <v/>
      </c>
      <c r="AW136" s="838" t="str">
        <f>IFERROR("_"&amp;VLOOKUP(K136, 【参考】数式用２!$AG$2:$AH$48, 2, FALSE), "")</f>
        <v>_21</v>
      </c>
      <c r="AX136" s="1138" t="str">
        <f>IF(AND(P136="処遇改善加算Ⅰ", AL136=""), "未入力","入力済")</f>
        <v>入力済</v>
      </c>
      <c r="AY136" s="1120" t="str">
        <f>G136</f>
        <v>東京都</v>
      </c>
      <c r="AZ136"/>
      <c r="BA136"/>
      <c r="BB136"/>
      <c r="BC136"/>
      <c r="BD136"/>
      <c r="BE136"/>
      <c r="BF136"/>
      <c r="BG136"/>
    </row>
    <row r="137" spans="1:59" ht="14.4">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4">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1111111139</v>
      </c>
      <c r="C140" s="1077"/>
      <c r="D140" s="1077"/>
      <c r="E140" s="1077"/>
      <c r="F140" s="1078"/>
      <c r="G140" s="1084" t="str">
        <f>IF(基本情報入力シート!L72="", "",基本情報入力シート!L72)</f>
        <v>東京都</v>
      </c>
      <c r="H140" s="1084" t="str">
        <f>IF(基本情報入力シート!Q72="", "",基本情報入力シート!Q72)</f>
        <v>東京都</v>
      </c>
      <c r="I140" s="1084" t="str">
        <f>IF(基本情報入力シート!V72="", "",基本情報入力シート!V72)</f>
        <v>千代田区</v>
      </c>
      <c r="J140" s="1084" t="str">
        <f>IF(基本情報入力シート!W72="", "",基本情報入力シート!W72)</f>
        <v>○○施設</v>
      </c>
      <c r="K140" s="1084" t="str">
        <f>IF(基本情報入力シート!X72="", "",基本情報入力シート!X72)</f>
        <v>介護予防短期入所生活介護</v>
      </c>
      <c r="L140" s="1087">
        <f>IF(基本情報入力シート!AC72=0, "",基本情報入力シート!AC72)</f>
        <v>750000</v>
      </c>
      <c r="M140" s="1090">
        <f>IF(基本情報入力シート!AD72="", "",基本情報入力シート!AD72)</f>
        <v>11.1</v>
      </c>
      <c r="N140" s="1071" t="s">
        <v>485</v>
      </c>
      <c r="O140" s="1056">
        <f>IFERROR(VLOOKUP(K140,【参考】数式用２!$A$2:$AD$48,MATCH(N140,【参考】数式用２!$C$4:$AD$4,0)+2,0),"")</f>
        <v>0.09</v>
      </c>
      <c r="P140" s="1139" t="s">
        <v>476</v>
      </c>
      <c r="Q140" s="1142">
        <f>IFERROR(VLOOKUP(K140,【参考】数式用２!$A$2:$AC$48,MATCH(P140,【参考】数式用２!$C$4:$AC$4,0)+2,0),"")</f>
        <v>0.14000000000000001</v>
      </c>
      <c r="R140" s="1145" t="s">
        <v>388</v>
      </c>
      <c r="S140" s="1148">
        <v>7</v>
      </c>
      <c r="T140" s="1065" t="s">
        <v>477</v>
      </c>
      <c r="U140" s="1148">
        <v>4</v>
      </c>
      <c r="V140" s="1065" t="s">
        <v>478</v>
      </c>
      <c r="W140" s="1148">
        <v>8</v>
      </c>
      <c r="X140" s="1065" t="s">
        <v>477</v>
      </c>
      <c r="Y140" s="1148">
        <v>3</v>
      </c>
      <c r="Z140" s="1065" t="s">
        <v>479</v>
      </c>
      <c r="AA140" s="1065" t="s">
        <v>291</v>
      </c>
      <c r="AB140" s="1065">
        <f>IF(S140&gt;=1,(W140*12+Y140)-(S140*12+U140)+1,"")</f>
        <v>12</v>
      </c>
      <c r="AC140" s="1068" t="s">
        <v>480</v>
      </c>
      <c r="AD140" s="1059">
        <f>IFERROR(ROUNDDOWN(ROUND(L140*Q140,0)*M140,0)*AB140,"")</f>
        <v>13986000</v>
      </c>
      <c r="AE140" s="1062">
        <f>IFERROR(ROUNDDOWN(ROUNDDOWN(ROUND(L140*VLOOKUP(K140,【参考】数式用２!$A$2:$AC$48,MATCH("処遇改善加算Ⅳ",【参考】数式用２!$C$4:$O$4,0)+2,0),0)*M140,0)*AB140*0.5,0), "")</f>
        <v>4495500</v>
      </c>
      <c r="AF140" s="1125" t="s">
        <v>47</v>
      </c>
      <c r="AG140" s="1059" t="str">
        <f>IF(AND(AQ140&lt;&gt;"対象外", P140&lt;&gt;""),ROUNDDOWN(ROUND(L140*VLOOKUP(K140,【参考】数式用２!$A$2:$K$48,MATCH("ベア加算あり",【参考】数式用２!$C$4:$K$4,0)+2,0),0)*M140,0)*AB140,"")</f>
        <v/>
      </c>
      <c r="AH140" s="1128"/>
      <c r="AI140" s="1125" t="s">
        <v>481</v>
      </c>
      <c r="AJ140" s="1125" t="s">
        <v>481</v>
      </c>
      <c r="AK140" s="1131"/>
      <c r="AL140" s="1134" t="s">
        <v>489</v>
      </c>
      <c r="AM140" s="690" t="str">
        <f t="shared" ref="AM140" si="93">IF(Q140="","",IF(Q140&lt;O140,"！加算の要件上は問題ありませんが、令和６年度末の加算率と比較して、令和７年度の加算率が低くなっています。",""))</f>
        <v/>
      </c>
      <c r="AN140" s="385"/>
      <c r="AO140" s="1120" t="str">
        <f>IF(K140&lt;&gt;"","Q列に色付け","")</f>
        <v>Q列に色付け</v>
      </c>
      <c r="AP140" s="1137" t="str">
        <f>IF(AND(AE140&lt;&gt;0,AE140&lt;&gt;""),IF(AF140="○","入力済","未入力"),"")</f>
        <v>入力済</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対象外</v>
      </c>
      <c r="AV140" s="838" t="str">
        <f>IF(AND(P140&lt;&gt;"処遇改善加算Ⅲ",P140&lt;&gt;"処遇改善加算Ⅳ", P140&lt;&gt;"", AU140&lt;&gt;"対象外"), 1,"")</f>
        <v/>
      </c>
      <c r="AW140" s="838" t="str">
        <f>IFERROR("_"&amp;VLOOKUP(K140, 【参考】数式用２!$AG$2:$AH$48, 2, FALSE), "")</f>
        <v>_24</v>
      </c>
      <c r="AX140" s="1138" t="str">
        <f>IF(AND(P140="処遇改善加算Ⅰ", AL140=""), "未入力","入力済")</f>
        <v>入力済</v>
      </c>
      <c r="AY140" s="1120" t="str">
        <f>G140</f>
        <v>東京都</v>
      </c>
      <c r="AZ140"/>
      <c r="BA140"/>
      <c r="BB140"/>
      <c r="BC140"/>
      <c r="BD140"/>
      <c r="BE140"/>
      <c r="BF140"/>
      <c r="BG140"/>
    </row>
    <row r="141" spans="1:59" ht="14.4">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4">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1111111140</v>
      </c>
      <c r="C144" s="1077"/>
      <c r="D144" s="1077"/>
      <c r="E144" s="1077"/>
      <c r="F144" s="1078"/>
      <c r="G144" s="1084" t="str">
        <f>IF(基本情報入力シート!L73="", "",基本情報入力シート!L73)</f>
        <v>東京都</v>
      </c>
      <c r="H144" s="1084" t="str">
        <f>IF(基本情報入力シート!Q73="", "",基本情報入力シート!Q73)</f>
        <v>東京都</v>
      </c>
      <c r="I144" s="1084" t="str">
        <f>IF(基本情報入力シート!V73="", "",基本情報入力シート!V73)</f>
        <v>千代田区</v>
      </c>
      <c r="J144" s="1084" t="str">
        <f>IF(基本情報入力シート!W73="", "",基本情報入力シート!W73)</f>
        <v>○○施設</v>
      </c>
      <c r="K144" s="1084" t="str">
        <f>IF(基本情報入力シート!X73="", "",基本情報入力シート!X73)</f>
        <v>介護老人保健施設サービス</v>
      </c>
      <c r="L144" s="1087">
        <f>IF(基本情報入力シート!AC73=0, "",基本情報入力シート!AC73)</f>
        <v>750000</v>
      </c>
      <c r="M144" s="1090">
        <f>IF(基本情報入力シート!AD73="", "",基本情報入力シート!AD73)</f>
        <v>10.9</v>
      </c>
      <c r="N144" s="1071" t="s">
        <v>485</v>
      </c>
      <c r="O144" s="1056">
        <f>IFERROR(VLOOKUP(K144,【参考】数式用２!$A$2:$AD$48,MATCH(N144,【参考】数式用２!$C$4:$AD$4,0)+2,0),"")</f>
        <v>4.4000000000000004E-2</v>
      </c>
      <c r="P144" s="1139" t="s">
        <v>476</v>
      </c>
      <c r="Q144" s="1142">
        <f>IFERROR(VLOOKUP(K144,【参考】数式用２!$A$2:$AC$48,MATCH(P144,【参考】数式用２!$C$4:$AC$4,0)+2,0),"")</f>
        <v>7.5000000000000011E-2</v>
      </c>
      <c r="R144" s="1145" t="s">
        <v>388</v>
      </c>
      <c r="S144" s="1148">
        <v>7</v>
      </c>
      <c r="T144" s="1065" t="s">
        <v>477</v>
      </c>
      <c r="U144" s="1148">
        <v>4</v>
      </c>
      <c r="V144" s="1065" t="s">
        <v>478</v>
      </c>
      <c r="W144" s="1148">
        <v>8</v>
      </c>
      <c r="X144" s="1065" t="s">
        <v>477</v>
      </c>
      <c r="Y144" s="1148">
        <v>3</v>
      </c>
      <c r="Z144" s="1065" t="s">
        <v>479</v>
      </c>
      <c r="AA144" s="1065" t="s">
        <v>291</v>
      </c>
      <c r="AB144" s="1065">
        <f>IF(S144&gt;=1,(W144*12+Y144)-(S144*12+U144)+1,"")</f>
        <v>12</v>
      </c>
      <c r="AC144" s="1068" t="s">
        <v>480</v>
      </c>
      <c r="AD144" s="1059">
        <f>IFERROR(ROUNDDOWN(ROUND(L144*Q144,0)*M144,0)*AB144,"")</f>
        <v>7357500</v>
      </c>
      <c r="AE144" s="1062">
        <f>IFERROR(ROUNDDOWN(ROUNDDOWN(ROUND(L144*VLOOKUP(K144,【参考】数式用２!$A$2:$AC$48,MATCH("処遇改善加算Ⅳ",【参考】数式用２!$C$4:$O$4,0)+2,0),0)*M144,0)*AB144*0.5,0), "")</f>
        <v>2158200</v>
      </c>
      <c r="AF144" s="1125" t="s">
        <v>47</v>
      </c>
      <c r="AG144" s="1059" t="str">
        <f>IF(AND(AQ144&lt;&gt;"対象外", P144&lt;&gt;""),ROUNDDOWN(ROUND(L144*VLOOKUP(K144,【参考】数式用２!$A$2:$K$48,MATCH("ベア加算あり",【参考】数式用２!$C$4:$K$4,0)+2,0),0)*M144,0)*AB144,"")</f>
        <v/>
      </c>
      <c r="AH144" s="1128"/>
      <c r="AI144" s="1125" t="s">
        <v>481</v>
      </c>
      <c r="AJ144" s="1125" t="s">
        <v>47</v>
      </c>
      <c r="AK144" s="1131">
        <v>1</v>
      </c>
      <c r="AL144" s="1134" t="s">
        <v>489</v>
      </c>
      <c r="AM144" s="690" t="str">
        <f t="shared" ref="AM144" si="96">IF(Q144="","",IF(Q144&lt;O144,"！加算の要件上は問題ありませんが、令和６年度末の加算率と比較して、令和７年度の加算率が低くなっています。",""))</f>
        <v/>
      </c>
      <c r="AN144" s="385"/>
      <c r="AO144" s="1120" t="str">
        <f>IF(K144&lt;&gt;"","Q列に色付け","")</f>
        <v>Q列に色付け</v>
      </c>
      <c r="AP144" s="1137" t="str">
        <f>IF(AND(AE144&lt;&gt;0,AE144&lt;&gt;""),IF(AF144="○","入力済","未入力"),"")</f>
        <v>入力済</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対象</v>
      </c>
      <c r="AV144" s="838">
        <f>IF(AND(P144&lt;&gt;"処遇改善加算Ⅲ",P144&lt;&gt;"処遇改善加算Ⅳ", P144&lt;&gt;"", AU144&lt;&gt;"対象外"), 1,"")</f>
        <v>1</v>
      </c>
      <c r="AW144" s="838" t="str">
        <f>IFERROR("_"&amp;VLOOKUP(K144, 【参考】数式用２!$AG$2:$AH$48, 2, FALSE), "")</f>
        <v>_52</v>
      </c>
      <c r="AX144" s="1138" t="str">
        <f>IF(AND(P144="処遇改善加算Ⅰ", AL144=""), "未入力","入力済")</f>
        <v>入力済</v>
      </c>
      <c r="AY144" s="1120" t="str">
        <f>G144</f>
        <v>東京都</v>
      </c>
      <c r="AZ144"/>
      <c r="BA144"/>
      <c r="BB144"/>
      <c r="BC144"/>
      <c r="BD144"/>
      <c r="BE144"/>
      <c r="BF144"/>
      <c r="BG144"/>
    </row>
    <row r="145" spans="1:59" ht="14.4">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4">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1111111141</v>
      </c>
      <c r="C148" s="1077"/>
      <c r="D148" s="1077"/>
      <c r="E148" s="1077"/>
      <c r="F148" s="1078"/>
      <c r="G148" s="1084" t="str">
        <f>IF(基本情報入力シート!L74="", "",基本情報入力シート!L74)</f>
        <v>東京都</v>
      </c>
      <c r="H148" s="1084" t="str">
        <f>IF(基本情報入力シート!Q74="", "",基本情報入力シート!Q74)</f>
        <v>東京都</v>
      </c>
      <c r="I148" s="1084" t="str">
        <f>IF(基本情報入力シート!V74="", "",基本情報入力シート!V74)</f>
        <v>千代田区</v>
      </c>
      <c r="J148" s="1084" t="str">
        <f>IF(基本情報入力シート!W74="", "",基本情報入力シート!W74)</f>
        <v>○○施設</v>
      </c>
      <c r="K148" s="1084" t="str">
        <f>IF(基本情報入力シート!X74="", "",基本情報入力シート!X74)</f>
        <v>短期入所療養介護（介護老人保健施設）</v>
      </c>
      <c r="L148" s="1087">
        <f>IF(基本情報入力シート!AC74=0, "",基本情報入力シート!AC74)</f>
        <v>750000</v>
      </c>
      <c r="M148" s="1090">
        <f>IF(基本情報入力シート!AD74="", "",基本情報入力シート!AD74)</f>
        <v>10.9</v>
      </c>
      <c r="N148" s="1071" t="s">
        <v>485</v>
      </c>
      <c r="O148" s="1056">
        <f>IFERROR(VLOOKUP(K148,【参考】数式用２!$A$2:$AD$48,MATCH(N148,【参考】数式用２!$C$4:$AD$4,0)+2,0),"")</f>
        <v>4.4000000000000004E-2</v>
      </c>
      <c r="P148" s="1139" t="s">
        <v>476</v>
      </c>
      <c r="Q148" s="1142">
        <f>IFERROR(VLOOKUP(K148,【参考】数式用２!$A$2:$AC$48,MATCH(P148,【参考】数式用２!$C$4:$AC$4,0)+2,0),"")</f>
        <v>7.5000000000000011E-2</v>
      </c>
      <c r="R148" s="1145" t="s">
        <v>388</v>
      </c>
      <c r="S148" s="1148">
        <v>7</v>
      </c>
      <c r="T148" s="1065" t="s">
        <v>477</v>
      </c>
      <c r="U148" s="1148">
        <v>4</v>
      </c>
      <c r="V148" s="1065" t="s">
        <v>478</v>
      </c>
      <c r="W148" s="1148">
        <v>8</v>
      </c>
      <c r="X148" s="1065" t="s">
        <v>477</v>
      </c>
      <c r="Y148" s="1148">
        <v>3</v>
      </c>
      <c r="Z148" s="1065" t="s">
        <v>479</v>
      </c>
      <c r="AA148" s="1065" t="s">
        <v>291</v>
      </c>
      <c r="AB148" s="1065">
        <f>IF(S148&gt;=1,(W148*12+Y148)-(S148*12+U148)+1,"")</f>
        <v>12</v>
      </c>
      <c r="AC148" s="1068" t="s">
        <v>480</v>
      </c>
      <c r="AD148" s="1059">
        <f>IFERROR(ROUNDDOWN(ROUND(L148*Q148,0)*M148,0)*AB148,"")</f>
        <v>7357500</v>
      </c>
      <c r="AE148" s="1062">
        <f>IFERROR(ROUNDDOWN(ROUNDDOWN(ROUND(L148*VLOOKUP(K148,【参考】数式用２!$A$2:$AC$48,MATCH("処遇改善加算Ⅳ",【参考】数式用２!$C$4:$O$4,0)+2,0),0)*M148,0)*AB148*0.5,0), "")</f>
        <v>2158200</v>
      </c>
      <c r="AF148" s="1125" t="s">
        <v>47</v>
      </c>
      <c r="AG148" s="1059" t="str">
        <f>IF(AND(AQ148&lt;&gt;"対象外", P148&lt;&gt;""),ROUNDDOWN(ROUND(L148*VLOOKUP(K148,【参考】数式用２!$A$2:$K$48,MATCH("ベア加算あり",【参考】数式用２!$C$4:$K$4,0)+2,0),0)*M148,0)*AB148,"")</f>
        <v/>
      </c>
      <c r="AH148" s="1128"/>
      <c r="AI148" s="1125" t="s">
        <v>47</v>
      </c>
      <c r="AJ148" s="1125" t="s">
        <v>481</v>
      </c>
      <c r="AK148" s="1131"/>
      <c r="AL148" s="1134" t="s">
        <v>489</v>
      </c>
      <c r="AM148" s="690" t="str">
        <f t="shared" ref="AM148" si="99">IF(Q148="","",IF(Q148&lt;O148,"！加算の要件上は問題ありませんが、令和６年度末の加算率と比較して、令和７年度の加算率が低くなっています。",""))</f>
        <v/>
      </c>
      <c r="AN148" s="385"/>
      <c r="AO148" s="1120" t="str">
        <f>IF(K148&lt;&gt;"","Q列に色付け","")</f>
        <v>Q列に色付け</v>
      </c>
      <c r="AP148" s="1137" t="str">
        <f>IF(AND(AE148&lt;&gt;0,AE148&lt;&gt;""),IF(AF148="○","入力済","未入力"),"")</f>
        <v>入力済</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対象外</v>
      </c>
      <c r="AV148" s="838" t="str">
        <f>IF(AND(P148&lt;&gt;"処遇改善加算Ⅲ",P148&lt;&gt;"処遇改善加算Ⅳ", P148&lt;&gt;"", AU148&lt;&gt;"対象外"), 1,"")</f>
        <v/>
      </c>
      <c r="AW148" s="838" t="str">
        <f>IFERROR("_"&amp;VLOOKUP(K148, 【参考】数式用２!$AG$2:$AH$48, 2, FALSE), "")</f>
        <v>_22</v>
      </c>
      <c r="AX148" s="1138" t="str">
        <f>IF(AND(P148="処遇改善加算Ⅰ", AL148=""), "未入力","入力済")</f>
        <v>入力済</v>
      </c>
      <c r="AY148" s="1120" t="str">
        <f>G148</f>
        <v>東京都</v>
      </c>
      <c r="AZ148"/>
      <c r="BA148"/>
      <c r="BB148"/>
      <c r="BC148"/>
      <c r="BD148"/>
      <c r="BE148"/>
      <c r="BF148"/>
      <c r="BG148"/>
    </row>
    <row r="149" spans="1:59" ht="14.4">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4">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1111111142</v>
      </c>
      <c r="C152" s="1077"/>
      <c r="D152" s="1077"/>
      <c r="E152" s="1077"/>
      <c r="F152" s="1078"/>
      <c r="G152" s="1084" t="str">
        <f>IF(基本情報入力シート!L75="", "",基本情報入力シート!L75)</f>
        <v>東京都</v>
      </c>
      <c r="H152" s="1084" t="str">
        <f>IF(基本情報入力シート!Q75="", "",基本情報入力シート!Q75)</f>
        <v>東京都</v>
      </c>
      <c r="I152" s="1084" t="str">
        <f>IF(基本情報入力シート!V75="", "",基本情報入力シート!V75)</f>
        <v>千代田区</v>
      </c>
      <c r="J152" s="1084" t="str">
        <f>IF(基本情報入力シート!W75="", "",基本情報入力シート!W75)</f>
        <v>○○施設</v>
      </c>
      <c r="K152" s="1084" t="str">
        <f>IF(基本情報入力シート!X75="", "",基本情報入力シート!X75)</f>
        <v>介護予防短期入所療養介護（介護老人保健施設）</v>
      </c>
      <c r="L152" s="1087">
        <f>IF(基本情報入力シート!AC75=0, "",基本情報入力シート!AC75)</f>
        <v>750000</v>
      </c>
      <c r="M152" s="1090">
        <f>IF(基本情報入力シート!AD75="", "",基本情報入力シート!AD75)</f>
        <v>10.9</v>
      </c>
      <c r="N152" s="1071" t="s">
        <v>485</v>
      </c>
      <c r="O152" s="1056">
        <f>IFERROR(VLOOKUP(K152,【参考】数式用２!$A$2:$AD$48,MATCH(N152,【参考】数式用２!$C$4:$AD$4,0)+2,0),"")</f>
        <v>4.4000000000000004E-2</v>
      </c>
      <c r="P152" s="1139" t="s">
        <v>476</v>
      </c>
      <c r="Q152" s="1142">
        <f>IFERROR(VLOOKUP(K152,【参考】数式用２!$A$2:$AC$48,MATCH(P152,【参考】数式用２!$C$4:$AC$4,0)+2,0),"")</f>
        <v>7.5000000000000011E-2</v>
      </c>
      <c r="R152" s="1145" t="s">
        <v>388</v>
      </c>
      <c r="S152" s="1148">
        <v>7</v>
      </c>
      <c r="T152" s="1065" t="s">
        <v>477</v>
      </c>
      <c r="U152" s="1148">
        <v>4</v>
      </c>
      <c r="V152" s="1065" t="s">
        <v>478</v>
      </c>
      <c r="W152" s="1148">
        <v>8</v>
      </c>
      <c r="X152" s="1065" t="s">
        <v>477</v>
      </c>
      <c r="Y152" s="1148">
        <v>3</v>
      </c>
      <c r="Z152" s="1065" t="s">
        <v>479</v>
      </c>
      <c r="AA152" s="1065" t="s">
        <v>291</v>
      </c>
      <c r="AB152" s="1065">
        <f>IF(S152&gt;=1,(W152*12+Y152)-(S152*12+U152)+1,"")</f>
        <v>12</v>
      </c>
      <c r="AC152" s="1068" t="s">
        <v>480</v>
      </c>
      <c r="AD152" s="1059">
        <f>IFERROR(ROUNDDOWN(ROUND(L152*Q152,0)*M152,0)*AB152,"")</f>
        <v>7357500</v>
      </c>
      <c r="AE152" s="1062">
        <f>IFERROR(ROUNDDOWN(ROUNDDOWN(ROUND(L152*VLOOKUP(K152,【参考】数式用２!$A$2:$AC$48,MATCH("処遇改善加算Ⅳ",【参考】数式用２!$C$4:$O$4,0)+2,0),0)*M152,0)*AB152*0.5,0), "")</f>
        <v>2158200</v>
      </c>
      <c r="AF152" s="1125" t="s">
        <v>47</v>
      </c>
      <c r="AG152" s="1059" t="str">
        <f>IF(AND(AQ152&lt;&gt;"対象外", P152&lt;&gt;""),ROUNDDOWN(ROUND(L152*VLOOKUP(K152,【参考】数式用２!$A$2:$K$48,MATCH("ベア加算あり",【参考】数式用２!$C$4:$K$4,0)+2,0),0)*M152,0)*AB152,"")</f>
        <v/>
      </c>
      <c r="AH152" s="1128"/>
      <c r="AI152" s="1125" t="s">
        <v>47</v>
      </c>
      <c r="AJ152" s="1125" t="s">
        <v>481</v>
      </c>
      <c r="AK152" s="1131"/>
      <c r="AL152" s="1134" t="s">
        <v>489</v>
      </c>
      <c r="AM152" s="690" t="str">
        <f t="shared" ref="AM152" si="102">IF(Q152="","",IF(Q152&lt;O152,"！加算の要件上は問題ありませんが、令和６年度末の加算率と比較して、令和７年度の加算率が低くなっています。",""))</f>
        <v/>
      </c>
      <c r="AN152" s="385"/>
      <c r="AO152" s="1120" t="str">
        <f>IF(K152&lt;&gt;"","Q列に色付け","")</f>
        <v>Q列に色付け</v>
      </c>
      <c r="AP152" s="1137" t="str">
        <f>IF(AND(AE152&lt;&gt;0,AE152&lt;&gt;""),IF(AF152="○","入力済","未入力"),"")</f>
        <v>入力済</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対象外</v>
      </c>
      <c r="AV152" s="838" t="str">
        <f>IF(AND(P152&lt;&gt;"処遇改善加算Ⅲ",P152&lt;&gt;"処遇改善加算Ⅳ", P152&lt;&gt;"", AU152&lt;&gt;"対象外"), 1,"")</f>
        <v/>
      </c>
      <c r="AW152" s="838" t="str">
        <f>IFERROR("_"&amp;VLOOKUP(K152, 【参考】数式用２!$AG$2:$AH$48, 2, FALSE), "")</f>
        <v>_25</v>
      </c>
      <c r="AX152" s="1138" t="str">
        <f>IF(AND(P152="処遇改善加算Ⅰ", AL152=""), "未入力","入力済")</f>
        <v>入力済</v>
      </c>
      <c r="AY152" s="1120" t="str">
        <f>G152</f>
        <v>東京都</v>
      </c>
      <c r="AZ152"/>
      <c r="BA152"/>
      <c r="BB152"/>
      <c r="BC152"/>
      <c r="BD152"/>
      <c r="BE152"/>
      <c r="BF152"/>
      <c r="BG152"/>
    </row>
    <row r="153" spans="1:59" ht="14.4">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4">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1111111143</v>
      </c>
      <c r="C156" s="1077"/>
      <c r="D156" s="1077"/>
      <c r="E156" s="1077"/>
      <c r="F156" s="1078"/>
      <c r="G156" s="1084" t="str">
        <f>IF(基本情報入力シート!L76="", "",基本情報入力シート!L76)</f>
        <v>東京都</v>
      </c>
      <c r="H156" s="1084" t="str">
        <f>IF(基本情報入力シート!Q76="", "",基本情報入力シート!Q76)</f>
        <v>東京都</v>
      </c>
      <c r="I156" s="1084" t="str">
        <f>IF(基本情報入力シート!V76="", "",基本情報入力シート!V76)</f>
        <v>千代田区</v>
      </c>
      <c r="J156" s="1084" t="str">
        <f>IF(基本情報入力シート!W76="", "",基本情報入力シート!W76)</f>
        <v>○○施設</v>
      </c>
      <c r="K156" s="1084" t="str">
        <f>IF(基本情報入力シート!X76="", "",基本情報入力シート!X76)</f>
        <v>短期入所療養介護 （病院等（老健以外）)</v>
      </c>
      <c r="L156" s="1087">
        <f>IF(基本情報入力シート!AC76=0, "",基本情報入力シート!AC76)</f>
        <v>750000</v>
      </c>
      <c r="M156" s="1090">
        <f>IF(基本情報入力シート!AD76="", "",基本情報入力シート!AD76)</f>
        <v>10.9</v>
      </c>
      <c r="N156" s="1071" t="s">
        <v>485</v>
      </c>
      <c r="O156" s="1056">
        <f>IFERROR(VLOOKUP(K156,【参考】数式用２!$A$2:$AD$48,MATCH(N156,【参考】数式用２!$C$4:$AD$4,0)+2,0),"")</f>
        <v>2.9000000000000001E-2</v>
      </c>
      <c r="P156" s="1139" t="s">
        <v>476</v>
      </c>
      <c r="Q156" s="1142">
        <f>IFERROR(VLOOKUP(K156,【参考】数式用２!$A$2:$AC$48,MATCH(P156,【参考】数式用２!$C$4:$AC$4,0)+2,0),"")</f>
        <v>5.099999999999999E-2</v>
      </c>
      <c r="R156" s="1145" t="s">
        <v>388</v>
      </c>
      <c r="S156" s="1148">
        <v>7</v>
      </c>
      <c r="T156" s="1065" t="s">
        <v>477</v>
      </c>
      <c r="U156" s="1148">
        <v>4</v>
      </c>
      <c r="V156" s="1065" t="s">
        <v>478</v>
      </c>
      <c r="W156" s="1148">
        <v>8</v>
      </c>
      <c r="X156" s="1065" t="s">
        <v>477</v>
      </c>
      <c r="Y156" s="1148">
        <v>3</v>
      </c>
      <c r="Z156" s="1065" t="s">
        <v>479</v>
      </c>
      <c r="AA156" s="1065" t="s">
        <v>291</v>
      </c>
      <c r="AB156" s="1065">
        <f>IF(S156&gt;=1,(W156*12+Y156)-(S156*12+U156)+1,"")</f>
        <v>12</v>
      </c>
      <c r="AC156" s="1068" t="s">
        <v>480</v>
      </c>
      <c r="AD156" s="1059">
        <f>IFERROR(ROUNDDOWN(ROUND(L156*Q156,0)*M156,0)*AB156,"")</f>
        <v>5003100</v>
      </c>
      <c r="AE156" s="1062">
        <f>IFERROR(ROUNDDOWN(ROUNDDOWN(ROUND(L156*VLOOKUP(K156,【参考】数式用２!$A$2:$AC$48,MATCH("処遇改善加算Ⅳ",【参考】数式用２!$C$4:$O$4,0)+2,0),0)*M156,0)*AB156*0.5,0), "")</f>
        <v>1422450</v>
      </c>
      <c r="AF156" s="1125" t="s">
        <v>47</v>
      </c>
      <c r="AG156" s="1059" t="str">
        <f>IF(AND(AQ156&lt;&gt;"対象外", P156&lt;&gt;""),ROUNDDOWN(ROUND(L156*VLOOKUP(K156,【参考】数式用２!$A$2:$K$48,MATCH("ベア加算あり",【参考】数式用２!$C$4:$K$4,0)+2,0),0)*M156,0)*AB156,"")</f>
        <v/>
      </c>
      <c r="AH156" s="1128"/>
      <c r="AI156" s="1125" t="s">
        <v>481</v>
      </c>
      <c r="AJ156" s="1125" t="s">
        <v>47</v>
      </c>
      <c r="AK156" s="1131"/>
      <c r="AL156" s="1134" t="s">
        <v>489</v>
      </c>
      <c r="AM156" s="690" t="str">
        <f t="shared" ref="AM156" si="105">IF(Q156="","",IF(Q156&lt;O156,"！加算の要件上は問題ありませんが、令和６年度末の加算率と比較して、令和７年度の加算率が低くなっています。",""))</f>
        <v/>
      </c>
      <c r="AN156" s="385"/>
      <c r="AO156" s="1120" t="str">
        <f>IF(K156&lt;&gt;"","Q列に色付け","")</f>
        <v>Q列に色付け</v>
      </c>
      <c r="AP156" s="1137" t="str">
        <f>IF(AND(AE156&lt;&gt;0,AE156&lt;&gt;""),IF(AF156="○","入力済","未入力"),"")</f>
        <v>入力済</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対象外</v>
      </c>
      <c r="AV156" s="838" t="str">
        <f>IF(AND(P156&lt;&gt;"処遇改善加算Ⅲ",P156&lt;&gt;"処遇改善加算Ⅳ", P156&lt;&gt;"", AU156&lt;&gt;"対象外"), 1,"")</f>
        <v/>
      </c>
      <c r="AW156" s="838" t="str">
        <f>IFERROR("_"&amp;VLOOKUP(K156, 【参考】数式用２!$AG$2:$AH$48, 2, FALSE), "")</f>
        <v>_23</v>
      </c>
      <c r="AX156" s="1138" t="str">
        <f>IF(AND(P156="処遇改善加算Ⅰ", AL156=""), "未入力","入力済")</f>
        <v>入力済</v>
      </c>
      <c r="AY156" s="1120" t="str">
        <f>G156</f>
        <v>東京都</v>
      </c>
      <c r="AZ156"/>
      <c r="BA156"/>
      <c r="BB156"/>
      <c r="BC156"/>
      <c r="BD156"/>
      <c r="BE156"/>
      <c r="BF156"/>
      <c r="BG156"/>
    </row>
    <row r="157" spans="1:59" ht="14.4">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4">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1111111144</v>
      </c>
      <c r="C160" s="1077"/>
      <c r="D160" s="1077"/>
      <c r="E160" s="1077"/>
      <c r="F160" s="1078"/>
      <c r="G160" s="1084" t="str">
        <f>IF(基本情報入力シート!L77="", "",基本情報入力シート!L77)</f>
        <v>東京都</v>
      </c>
      <c r="H160" s="1084" t="str">
        <f>IF(基本情報入力シート!Q77="", "",基本情報入力シート!Q77)</f>
        <v>東京都</v>
      </c>
      <c r="I160" s="1084" t="str">
        <f>IF(基本情報入力シート!V77="", "",基本情報入力シート!V77)</f>
        <v>千代田区</v>
      </c>
      <c r="J160" s="1084" t="str">
        <f>IF(基本情報入力シート!W77="", "",基本情報入力シート!W77)</f>
        <v>○○施設</v>
      </c>
      <c r="K160" s="1084" t="str">
        <f>IF(基本情報入力シート!X77="", "",基本情報入力シート!X77)</f>
        <v>介護予防短期入所療養介護 （病院等（老健以外）)</v>
      </c>
      <c r="L160" s="1087">
        <f>IF(基本情報入力シート!AC77=0, "",基本情報入力シート!AC77)</f>
        <v>750000</v>
      </c>
      <c r="M160" s="1090">
        <f>IF(基本情報入力シート!AD77="", "",基本情報入力シート!AD77)</f>
        <v>10.9</v>
      </c>
      <c r="N160" s="1071" t="s">
        <v>485</v>
      </c>
      <c r="O160" s="1056">
        <f>IFERROR(VLOOKUP(K160,【参考】数式用２!$A$2:$AD$48,MATCH(N160,【参考】数式用２!$C$4:$AD$4,0)+2,0),"")</f>
        <v>2.9000000000000001E-2</v>
      </c>
      <c r="P160" s="1139" t="s">
        <v>476</v>
      </c>
      <c r="Q160" s="1142">
        <f>IFERROR(VLOOKUP(K160,【参考】数式用２!$A$2:$AC$48,MATCH(P160,【参考】数式用２!$C$4:$AC$4,0)+2,0),"")</f>
        <v>5.099999999999999E-2</v>
      </c>
      <c r="R160" s="1145" t="s">
        <v>388</v>
      </c>
      <c r="S160" s="1148">
        <v>7</v>
      </c>
      <c r="T160" s="1065" t="s">
        <v>477</v>
      </c>
      <c r="U160" s="1148">
        <v>4</v>
      </c>
      <c r="V160" s="1065" t="s">
        <v>478</v>
      </c>
      <c r="W160" s="1148">
        <v>8</v>
      </c>
      <c r="X160" s="1065" t="s">
        <v>477</v>
      </c>
      <c r="Y160" s="1148">
        <v>3</v>
      </c>
      <c r="Z160" s="1065" t="s">
        <v>479</v>
      </c>
      <c r="AA160" s="1065" t="s">
        <v>291</v>
      </c>
      <c r="AB160" s="1065">
        <f>IF(S160&gt;=1,(W160*12+Y160)-(S160*12+U160)+1,"")</f>
        <v>12</v>
      </c>
      <c r="AC160" s="1068" t="s">
        <v>480</v>
      </c>
      <c r="AD160" s="1059">
        <f>IFERROR(ROUNDDOWN(ROUND(L160*Q160,0)*M160,0)*AB160,"")</f>
        <v>5003100</v>
      </c>
      <c r="AE160" s="1062">
        <f>IFERROR(ROUNDDOWN(ROUNDDOWN(ROUND(L160*VLOOKUP(K160,【参考】数式用２!$A$2:$AC$48,MATCH("処遇改善加算Ⅳ",【参考】数式用２!$C$4:$O$4,0)+2,0),0)*M160,0)*AB160*0.5,0), "")</f>
        <v>1422450</v>
      </c>
      <c r="AF160" s="1125" t="s">
        <v>47</v>
      </c>
      <c r="AG160" s="1059" t="str">
        <f>IF(AND(AQ160&lt;&gt;"対象外", P160&lt;&gt;""),ROUNDDOWN(ROUND(L160*VLOOKUP(K160,【参考】数式用２!$A$2:$K$48,MATCH("ベア加算あり",【参考】数式用２!$C$4:$K$4,0)+2,0),0)*M160,0)*AB160,"")</f>
        <v/>
      </c>
      <c r="AH160" s="1128"/>
      <c r="AI160" s="1125" t="s">
        <v>481</v>
      </c>
      <c r="AJ160" s="1125" t="s">
        <v>481</v>
      </c>
      <c r="AK160" s="1131"/>
      <c r="AL160" s="1134" t="s">
        <v>489</v>
      </c>
      <c r="AM160" s="690" t="str">
        <f t="shared" ref="AM160" si="108">IF(Q160="","",IF(Q160&lt;O160,"！加算の要件上は問題ありませんが、令和６年度末の加算率と比較して、令和７年度の加算率が低くなっています。",""))</f>
        <v/>
      </c>
      <c r="AN160" s="385"/>
      <c r="AO160" s="1121" t="str">
        <f>IF(K160&lt;&gt;"","Q列に色付け","")</f>
        <v>Q列に色付け</v>
      </c>
      <c r="AP160" s="1137" t="str">
        <f>IF(AND(AE160&lt;&gt;0,AE160&lt;&gt;""),IF(AF160="○","入力済","未入力"),"")</f>
        <v>入力済</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対象外</v>
      </c>
      <c r="AV160" s="838" t="str">
        <f>IF(AND(P160&lt;&gt;"処遇改善加算Ⅲ",P160&lt;&gt;"処遇改善加算Ⅳ", P160&lt;&gt;"", AU160&lt;&gt;"対象外"), 1,"")</f>
        <v/>
      </c>
      <c r="AW160" s="838" t="str">
        <f>IFERROR("_"&amp;VLOOKUP(K160, 【参考】数式用２!$AG$2:$AH$48, 2, FALSE), "")</f>
        <v>_26</v>
      </c>
      <c r="AX160" s="1138" t="str">
        <f>IF(AND(P160="処遇改善加算Ⅰ", AL160=""), "未入力","入力済")</f>
        <v>入力済</v>
      </c>
      <c r="AY160" s="1120" t="str">
        <f>G160</f>
        <v>東京都</v>
      </c>
      <c r="AZ160"/>
      <c r="BA160"/>
      <c r="BB160"/>
      <c r="BC160"/>
      <c r="BD160"/>
      <c r="BE160"/>
      <c r="BF160"/>
      <c r="BG160"/>
    </row>
    <row r="161" spans="1:59" ht="14.4">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4">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1111111145</v>
      </c>
      <c r="C164" s="1077"/>
      <c r="D164" s="1077"/>
      <c r="E164" s="1077"/>
      <c r="F164" s="1078"/>
      <c r="G164" s="1084" t="str">
        <f>IF(基本情報入力シート!L78="", "",基本情報入力シート!L78)</f>
        <v>東京都</v>
      </c>
      <c r="H164" s="1084" t="str">
        <f>IF(基本情報入力シート!Q78="", "",基本情報入力シート!Q78)</f>
        <v>東京都</v>
      </c>
      <c r="I164" s="1084" t="str">
        <f>IF(基本情報入力シート!V78="", "",基本情報入力シート!V78)</f>
        <v>千代田区</v>
      </c>
      <c r="J164" s="1084" t="str">
        <f>IF(基本情報入力シート!W78="", "",基本情報入力シート!W78)</f>
        <v>○○施設</v>
      </c>
      <c r="K164" s="1084" t="str">
        <f>IF(基本情報入力シート!X78="", "",基本情報入力シート!X78)</f>
        <v>介護医療院サービス</v>
      </c>
      <c r="L164" s="1087">
        <f>IF(基本情報入力シート!AC78=0, "",基本情報入力シート!AC78)</f>
        <v>750000</v>
      </c>
      <c r="M164" s="1090">
        <f>IF(基本情報入力シート!AD78="", "",基本情報入力シート!AD78)</f>
        <v>10.9</v>
      </c>
      <c r="N164" s="1071" t="s">
        <v>485</v>
      </c>
      <c r="O164" s="1056">
        <f>IFERROR(VLOOKUP(K164,【参考】数式用２!$A$2:$AD$48,MATCH(N164,【参考】数式用２!$C$4:$AD$4,0)+2,0),"")</f>
        <v>2.9000000000000001E-2</v>
      </c>
      <c r="P164" s="1139" t="s">
        <v>476</v>
      </c>
      <c r="Q164" s="1142">
        <f>IFERROR(VLOOKUP(K164,【参考】数式用２!$A$2:$AC$48,MATCH(P164,【参考】数式用２!$C$4:$AC$4,0)+2,0),"")</f>
        <v>5.099999999999999E-2</v>
      </c>
      <c r="R164" s="1145" t="s">
        <v>388</v>
      </c>
      <c r="S164" s="1148">
        <v>7</v>
      </c>
      <c r="T164" s="1065" t="s">
        <v>477</v>
      </c>
      <c r="U164" s="1148">
        <v>4</v>
      </c>
      <c r="V164" s="1065" t="s">
        <v>478</v>
      </c>
      <c r="W164" s="1148">
        <v>8</v>
      </c>
      <c r="X164" s="1065" t="s">
        <v>477</v>
      </c>
      <c r="Y164" s="1148">
        <v>3</v>
      </c>
      <c r="Z164" s="1065" t="s">
        <v>479</v>
      </c>
      <c r="AA164" s="1065" t="s">
        <v>291</v>
      </c>
      <c r="AB164" s="1065">
        <f>IF(S164&gt;=1,(W164*12+Y164)-(S164*12+U164)+1,"")</f>
        <v>12</v>
      </c>
      <c r="AC164" s="1068" t="s">
        <v>480</v>
      </c>
      <c r="AD164" s="1059">
        <f>IFERROR(ROUNDDOWN(ROUND(L164*Q164,0)*M164,0)*AB164,"")</f>
        <v>5003100</v>
      </c>
      <c r="AE164" s="1062">
        <f>IFERROR(ROUNDDOWN(ROUNDDOWN(ROUND(L164*VLOOKUP(K164,【参考】数式用２!$A$2:$AC$48,MATCH("処遇改善加算Ⅳ",【参考】数式用２!$C$4:$O$4,0)+2,0),0)*M164,0)*AB164*0.5,0), "")</f>
        <v>1422450</v>
      </c>
      <c r="AF164" s="1125" t="s">
        <v>47</v>
      </c>
      <c r="AG164" s="1059" t="str">
        <f>IF(AND(AQ164&lt;&gt;"対象外", P164&lt;&gt;""),ROUNDDOWN(ROUND(L164*VLOOKUP(K164,【参考】数式用２!$A$2:$K$48,MATCH("ベア加算あり",【参考】数式用２!$C$4:$K$4,0)+2,0),0)*M164,0)*AB164,"")</f>
        <v/>
      </c>
      <c r="AH164" s="1128"/>
      <c r="AI164" s="1125" t="s">
        <v>47</v>
      </c>
      <c r="AJ164" s="1125" t="s">
        <v>481</v>
      </c>
      <c r="AK164" s="1131">
        <v>1</v>
      </c>
      <c r="AL164" s="1134" t="s">
        <v>489</v>
      </c>
      <c r="AM164" s="690" t="str">
        <f t="shared" ref="AM164" si="111">IF(Q164="","",IF(Q164&lt;O164,"！加算の要件上は問題ありませんが、令和６年度末の加算率と比較して、令和７年度の加算率が低くなっています。",""))</f>
        <v/>
      </c>
      <c r="AN164" s="385"/>
      <c r="AO164" s="1121" t="str">
        <f>IF(K164&lt;&gt;"","Q列に色付け","")</f>
        <v>Q列に色付け</v>
      </c>
      <c r="AP164" s="1137" t="str">
        <f>IF(AND(AE164&lt;&gt;0,AE164&lt;&gt;""),IF(AF164="○","入力済","未入力"),"")</f>
        <v>入力済</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対象</v>
      </c>
      <c r="AV164" s="838">
        <f>IF(AND(P164&lt;&gt;"処遇改善加算Ⅲ",P164&lt;&gt;"処遇改善加算Ⅳ", P164&lt;&gt;"", AU164&lt;&gt;"対象外"), 1,"")</f>
        <v>1</v>
      </c>
      <c r="AW164" s="838" t="str">
        <f>IFERROR("_"&amp;VLOOKUP(K164, 【参考】数式用２!$AG$2:$AH$48, 2, FALSE), "")</f>
        <v>_55</v>
      </c>
      <c r="AX164" s="1138" t="str">
        <f>IF(AND(P164="処遇改善加算Ⅰ", AL164=""), "未入力","入力済")</f>
        <v>入力済</v>
      </c>
      <c r="AY164" s="1120" t="str">
        <f>G164</f>
        <v>東京都</v>
      </c>
      <c r="AZ164"/>
      <c r="BA164"/>
      <c r="BB164"/>
      <c r="BC164"/>
      <c r="BD164"/>
      <c r="BE164"/>
      <c r="BF164"/>
      <c r="BG164"/>
    </row>
    <row r="165" spans="1:59" ht="14.4">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4">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1111111146</v>
      </c>
      <c r="C168" s="1077"/>
      <c r="D168" s="1077"/>
      <c r="E168" s="1077"/>
      <c r="F168" s="1078"/>
      <c r="G168" s="1084" t="str">
        <f>IF(基本情報入力シート!L79="", "",基本情報入力シート!L79)</f>
        <v>東京都</v>
      </c>
      <c r="H168" s="1084" t="str">
        <f>IF(基本情報入力シート!Q79="", "",基本情報入力シート!Q79)</f>
        <v>東京都</v>
      </c>
      <c r="I168" s="1084" t="str">
        <f>IF(基本情報入力シート!V79="", "",基本情報入力シート!V79)</f>
        <v>千代田区</v>
      </c>
      <c r="J168" s="1084" t="str">
        <f>IF(基本情報入力シート!W79="", "",基本情報入力シート!W79)</f>
        <v>○○施設</v>
      </c>
      <c r="K168" s="1084" t="str">
        <f>IF(基本情報入力シート!X79="", "",基本情報入力シート!X79)</f>
        <v>短期入所療養介護（介護医療院）</v>
      </c>
      <c r="L168" s="1087">
        <f>IF(基本情報入力シート!AC79=0, "",基本情報入力シート!AC79)</f>
        <v>750000</v>
      </c>
      <c r="M168" s="1090">
        <f>IF(基本情報入力シート!AD79="", "",基本情報入力シート!AD79)</f>
        <v>10.9</v>
      </c>
      <c r="N168" s="1071" t="s">
        <v>485</v>
      </c>
      <c r="O168" s="1056">
        <f>IFERROR(VLOOKUP(K168,【参考】数式用２!$A$2:$AD$48,MATCH(N168,【参考】数式用２!$C$4:$AD$4,0)+2,0),"")</f>
        <v>2.9000000000000001E-2</v>
      </c>
      <c r="P168" s="1139" t="s">
        <v>476</v>
      </c>
      <c r="Q168" s="1142">
        <f>IFERROR(VLOOKUP(K168,【参考】数式用２!$A$2:$AC$48,MATCH(P168,【参考】数式用２!$C$4:$AC$4,0)+2,0),"")</f>
        <v>5.099999999999999E-2</v>
      </c>
      <c r="R168" s="1145" t="s">
        <v>388</v>
      </c>
      <c r="S168" s="1148">
        <v>7</v>
      </c>
      <c r="T168" s="1065" t="s">
        <v>477</v>
      </c>
      <c r="U168" s="1148">
        <v>4</v>
      </c>
      <c r="V168" s="1065" t="s">
        <v>478</v>
      </c>
      <c r="W168" s="1148">
        <v>8</v>
      </c>
      <c r="X168" s="1065" t="s">
        <v>477</v>
      </c>
      <c r="Y168" s="1148">
        <v>3</v>
      </c>
      <c r="Z168" s="1065" t="s">
        <v>479</v>
      </c>
      <c r="AA168" s="1065" t="s">
        <v>291</v>
      </c>
      <c r="AB168" s="1065">
        <f>IF(S168&gt;=1,(W168*12+Y168)-(S168*12+U168)+1,"")</f>
        <v>12</v>
      </c>
      <c r="AC168" s="1068" t="s">
        <v>480</v>
      </c>
      <c r="AD168" s="1059">
        <f>IFERROR(ROUNDDOWN(ROUND(L168*Q168,0)*M168,0)*AB168,"")</f>
        <v>5003100</v>
      </c>
      <c r="AE168" s="1062">
        <f>IFERROR(ROUNDDOWN(ROUNDDOWN(ROUND(L168*VLOOKUP(K168,【参考】数式用２!$A$2:$AC$48,MATCH("処遇改善加算Ⅳ",【参考】数式用２!$C$4:$O$4,0)+2,0),0)*M168,0)*AB168*0.5,0), "")</f>
        <v>1422450</v>
      </c>
      <c r="AF168" s="1125" t="s">
        <v>47</v>
      </c>
      <c r="AG168" s="1059" t="str">
        <f>IF(AND(AQ168&lt;&gt;"対象外", P168&lt;&gt;""),ROUNDDOWN(ROUND(L168*VLOOKUP(K168,【参考】数式用２!$A$2:$K$48,MATCH("ベア加算あり",【参考】数式用２!$C$4:$K$4,0)+2,0),0)*M168,0)*AB168,"")</f>
        <v/>
      </c>
      <c r="AH168" s="1128"/>
      <c r="AI168" s="1125" t="s">
        <v>47</v>
      </c>
      <c r="AJ168" s="1125" t="s">
        <v>47</v>
      </c>
      <c r="AK168" s="1131"/>
      <c r="AL168" s="1134" t="s">
        <v>489</v>
      </c>
      <c r="AM168" s="690" t="str">
        <f t="shared" ref="AM168" si="114">IF(Q168="","",IF(Q168&lt;O168,"！加算の要件上は問題ありませんが、令和６年度末の加算率と比較して、令和７年度の加算率が低くなっています。",""))</f>
        <v/>
      </c>
      <c r="AN168" s="385"/>
      <c r="AO168" s="1120" t="str">
        <f>IF(K168&lt;&gt;"","Q列に色付け","")</f>
        <v>Q列に色付け</v>
      </c>
      <c r="AP168" s="1137" t="str">
        <f>IF(AND(AE168&lt;&gt;0,AE168&lt;&gt;""),IF(AF168="○","入力済","未入力"),"")</f>
        <v>入力済</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対象外</v>
      </c>
      <c r="AV168" s="838" t="str">
        <f>IF(AND(P168&lt;&gt;"処遇改善加算Ⅲ",P168&lt;&gt;"処遇改善加算Ⅳ", P168&lt;&gt;"", AU168&lt;&gt;"対象外"), 1,"")</f>
        <v/>
      </c>
      <c r="AW168" s="838" t="str">
        <f>IFERROR("_"&amp;VLOOKUP(K168, 【参考】数式用２!$AG$2:$AH$48, 2, FALSE), "")</f>
        <v>_2A</v>
      </c>
      <c r="AX168" s="1138" t="str">
        <f>IF(AND(P168="処遇改善加算Ⅰ", AL168=""), "未入力","入力済")</f>
        <v>入力済</v>
      </c>
      <c r="AY168" s="1120" t="str">
        <f>G168</f>
        <v>東京都</v>
      </c>
      <c r="AZ168"/>
      <c r="BA168"/>
      <c r="BB168"/>
      <c r="BC168"/>
      <c r="BD168"/>
      <c r="BE168"/>
      <c r="BF168"/>
      <c r="BG168"/>
    </row>
    <row r="169" spans="1:59" ht="14.4">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4">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1111111147</v>
      </c>
      <c r="C172" s="1077"/>
      <c r="D172" s="1077"/>
      <c r="E172" s="1077"/>
      <c r="F172" s="1078"/>
      <c r="G172" s="1084" t="str">
        <f>IF(基本情報入力シート!L80="", "",基本情報入力シート!L80)</f>
        <v>東京都</v>
      </c>
      <c r="H172" s="1084" t="str">
        <f>IF(基本情報入力シート!Q80="", "",基本情報入力シート!Q80)</f>
        <v>東京都</v>
      </c>
      <c r="I172" s="1084" t="str">
        <f>IF(基本情報入力シート!V80="", "",基本情報入力シート!V80)</f>
        <v>千代田区</v>
      </c>
      <c r="J172" s="1084" t="str">
        <f>IF(基本情報入力シート!W80="", "",基本情報入力シート!W80)</f>
        <v>○○施設</v>
      </c>
      <c r="K172" s="1084" t="str">
        <f>IF(基本情報入力シート!X80="", "",基本情報入力シート!X80)</f>
        <v>介護予防短期入所療養介護（介護医療院）</v>
      </c>
      <c r="L172" s="1087">
        <f>IF(基本情報入力シート!AC80=0, "",基本情報入力シート!AC80)</f>
        <v>750000</v>
      </c>
      <c r="M172" s="1090">
        <f>IF(基本情報入力シート!AD80="", "",基本情報入力シート!AD80)</f>
        <v>10.9</v>
      </c>
      <c r="N172" s="1071" t="s">
        <v>485</v>
      </c>
      <c r="O172" s="1056">
        <f>IFERROR(VLOOKUP(K172,【参考】数式用２!$A$2:$AD$48,MATCH(N172,【参考】数式用２!$C$4:$AD$4,0)+2,0),"")</f>
        <v>2.9000000000000001E-2</v>
      </c>
      <c r="P172" s="1139" t="s">
        <v>476</v>
      </c>
      <c r="Q172" s="1142">
        <f>IFERROR(VLOOKUP(K172,【参考】数式用２!$A$2:$AC$48,MATCH(P172,【参考】数式用２!$C$4:$AC$4,0)+2,0),"")</f>
        <v>5.099999999999999E-2</v>
      </c>
      <c r="R172" s="1145" t="s">
        <v>388</v>
      </c>
      <c r="S172" s="1148">
        <v>7</v>
      </c>
      <c r="T172" s="1065" t="s">
        <v>477</v>
      </c>
      <c r="U172" s="1148">
        <v>4</v>
      </c>
      <c r="V172" s="1065" t="s">
        <v>478</v>
      </c>
      <c r="W172" s="1148">
        <v>8</v>
      </c>
      <c r="X172" s="1065" t="s">
        <v>477</v>
      </c>
      <c r="Y172" s="1148">
        <v>3</v>
      </c>
      <c r="Z172" s="1065" t="s">
        <v>479</v>
      </c>
      <c r="AA172" s="1065" t="s">
        <v>291</v>
      </c>
      <c r="AB172" s="1065">
        <f>IF(S172&gt;=1,(W172*12+Y172)-(S172*12+U172)+1,"")</f>
        <v>12</v>
      </c>
      <c r="AC172" s="1068" t="s">
        <v>480</v>
      </c>
      <c r="AD172" s="1059">
        <f>IFERROR(ROUNDDOWN(ROUND(L172*Q172,0)*M172,0)*AB172,"")</f>
        <v>5003100</v>
      </c>
      <c r="AE172" s="1062">
        <f>IFERROR(ROUNDDOWN(ROUNDDOWN(ROUND(L172*VLOOKUP(K172,【参考】数式用２!$A$2:$AC$48,MATCH("処遇改善加算Ⅳ",【参考】数式用２!$C$4:$O$4,0)+2,0),0)*M172,0)*AB172*0.5,0), "")</f>
        <v>1422450</v>
      </c>
      <c r="AF172" s="1125" t="s">
        <v>47</v>
      </c>
      <c r="AG172" s="1059" t="str">
        <f>IF(AND(AQ172&lt;&gt;"対象外", P172&lt;&gt;""),ROUNDDOWN(ROUND(L172*VLOOKUP(K172,【参考】数式用２!$A$2:$K$48,MATCH("ベア加算あり",【参考】数式用２!$C$4:$K$4,0)+2,0),0)*M172,0)*AB172,"")</f>
        <v/>
      </c>
      <c r="AH172" s="1128"/>
      <c r="AI172" s="1125" t="s">
        <v>481</v>
      </c>
      <c r="AJ172" s="1125" t="s">
        <v>481</v>
      </c>
      <c r="AK172" s="1131"/>
      <c r="AL172" s="1134" t="s">
        <v>489</v>
      </c>
      <c r="AM172" s="690" t="str">
        <f t="shared" ref="AM172" si="117">IF(Q172="","",IF(Q172&lt;O172,"！加算の要件上は問題ありませんが、令和６年度末の加算率と比較して、令和７年度の加算率が低くなっています。",""))</f>
        <v/>
      </c>
      <c r="AN172" s="385"/>
      <c r="AO172" s="1121" t="str">
        <f>IF(K172&lt;&gt;"","Q列に色付け","")</f>
        <v>Q列に色付け</v>
      </c>
      <c r="AP172" s="1137" t="str">
        <f>IF(AND(AE172&lt;&gt;0,AE172&lt;&gt;""),IF(AF172="○","入力済","未入力"),"")</f>
        <v>入力済</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対象外</v>
      </c>
      <c r="AV172" s="838" t="str">
        <f>IF(AND(P172&lt;&gt;"処遇改善加算Ⅲ",P172&lt;&gt;"処遇改善加算Ⅳ", P172&lt;&gt;"", AU172&lt;&gt;"対象外"), 1,"")</f>
        <v/>
      </c>
      <c r="AW172" s="838" t="str">
        <f>IFERROR("_"&amp;VLOOKUP(K172, 【参考】数式用２!$AG$2:$AH$48, 2, FALSE), "")</f>
        <v>_2B</v>
      </c>
      <c r="AX172" s="1138" t="str">
        <f>IF(AND(P172="処遇改善加算Ⅰ", AL172=""), "未入力","入力済")</f>
        <v>入力済</v>
      </c>
      <c r="AY172" s="1120" t="str">
        <f>G172</f>
        <v>東京都</v>
      </c>
      <c r="AZ172"/>
      <c r="BA172"/>
      <c r="BB172"/>
      <c r="BC172"/>
      <c r="BD172"/>
      <c r="BE172"/>
      <c r="BF172"/>
      <c r="BG172"/>
    </row>
    <row r="173" spans="1:59" ht="14.4">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4">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1111111148</v>
      </c>
      <c r="C176" s="1077"/>
      <c r="D176" s="1077"/>
      <c r="E176" s="1077"/>
      <c r="F176" s="1078"/>
      <c r="G176" s="1084" t="str">
        <f>IF(基本情報入力シート!L81="", "",基本情報入力シート!L81)</f>
        <v>千代田区</v>
      </c>
      <c r="H176" s="1084" t="str">
        <f>IF(基本情報入力シート!Q81="", "",基本情報入力シート!Q81)</f>
        <v>東京都</v>
      </c>
      <c r="I176" s="1084" t="str">
        <f>IF(基本情報入力シート!V81="", "",基本情報入力シート!V81)</f>
        <v>千代田区</v>
      </c>
      <c r="J176" s="1084" t="str">
        <f>IF(基本情報入力シート!W81="", "",基本情報入力シート!W81)</f>
        <v>○○ホームヘルプ</v>
      </c>
      <c r="K176" s="1084" t="str">
        <f>IF(基本情報入力シート!X81="", "",基本情報入力シート!X81)</f>
        <v>訪問型サービス（独自）</v>
      </c>
      <c r="L176" s="1087">
        <f>IF(基本情報入力シート!AC81=0, "",基本情報入力シート!AC81)</f>
        <v>750000</v>
      </c>
      <c r="M176" s="1090" t="str">
        <f>IF(基本情報入力シート!AD81="", "",基本情報入力シート!AD81)</f>
        <v>数式を削除して手入力</v>
      </c>
      <c r="N176" s="1071" t="s">
        <v>485</v>
      </c>
      <c r="O176" s="1056">
        <f>IFERROR(VLOOKUP(K176,【参考】数式用２!$A$2:$AD$48,MATCH(N176,【参考】数式用２!$C$4:$AD$4,0)+2,0),"")</f>
        <v>0.14499999999999999</v>
      </c>
      <c r="P176" s="1139" t="s">
        <v>476</v>
      </c>
      <c r="Q176" s="1142">
        <f>IFERROR(VLOOKUP(K176,【参考】数式用２!$A$2:$AC$48,MATCH(P176,【参考】数式用２!$C$4:$AC$4,0)+2,0),"")</f>
        <v>0.245</v>
      </c>
      <c r="R176" s="1145" t="s">
        <v>388</v>
      </c>
      <c r="S176" s="1148">
        <v>7</v>
      </c>
      <c r="T176" s="1065" t="s">
        <v>477</v>
      </c>
      <c r="U176" s="1148">
        <v>4</v>
      </c>
      <c r="V176" s="1065" t="s">
        <v>478</v>
      </c>
      <c r="W176" s="1148">
        <v>8</v>
      </c>
      <c r="X176" s="1065" t="s">
        <v>477</v>
      </c>
      <c r="Y176" s="1148">
        <v>3</v>
      </c>
      <c r="Z176" s="1065" t="s">
        <v>479</v>
      </c>
      <c r="AA176" s="1065" t="s">
        <v>291</v>
      </c>
      <c r="AB176" s="1065">
        <f>IF(S176&gt;=1,(W176*12+Y176)-(S176*12+U176)+1,"")</f>
        <v>12</v>
      </c>
      <c r="AC176" s="1068" t="s">
        <v>480</v>
      </c>
      <c r="AD176" s="1059" t="str">
        <f>IFERROR(ROUNDDOWN(ROUND(L176*Q176,0)*M176,0)*AB176,"")</f>
        <v/>
      </c>
      <c r="AE176" s="1062" t="str">
        <f>IFERROR(ROUNDDOWN(ROUNDDOWN(ROUND(L176*VLOOKUP(K176,【参考】数式用２!$A$2:$AC$48,MATCH("処遇改善加算Ⅳ",【参考】数式用２!$C$4:$O$4,0)+2,0),0)*M176,0)*AB176*0.5,0), "")</f>
        <v/>
      </c>
      <c r="AF176" s="1125" t="s">
        <v>47</v>
      </c>
      <c r="AG176" s="1059" t="str">
        <f>IF(AND(AQ176&lt;&gt;"対象外", P176&lt;&gt;""),ROUNDDOWN(ROUND(L176*VLOOKUP(K176,【参考】数式用２!$A$2:$K$48,MATCH("ベア加算あり",【参考】数式用２!$C$4:$K$4,0)+2,0),0)*M176,0)*AB176,"")</f>
        <v/>
      </c>
      <c r="AH176" s="1128"/>
      <c r="AI176" s="1125" t="s">
        <v>481</v>
      </c>
      <c r="AJ176" s="1125" t="s">
        <v>481</v>
      </c>
      <c r="AK176" s="1131"/>
      <c r="AL176" s="1134" t="s">
        <v>503</v>
      </c>
      <c r="AM176" s="690" t="str">
        <f t="shared" ref="AM176" si="120">IF(Q176="","",IF(Q176&lt;O176,"！加算の要件上は問題ありませんが、令和６年度末の加算率と比較して、令和７年度の加算率が低くなっています。",""))</f>
        <v/>
      </c>
      <c r="AN176" s="385"/>
      <c r="AO176" s="1120" t="str">
        <f>IF(K176&lt;&gt;"","Q列に色付け","")</f>
        <v>Q列に色付け</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対象外</v>
      </c>
      <c r="AV176" s="838" t="str">
        <f>IF(AND(P176&lt;&gt;"処遇改善加算Ⅲ",P176&lt;&gt;"処遇改善加算Ⅳ", P176&lt;&gt;"", AU176&lt;&gt;"対象外"), 1,"")</f>
        <v/>
      </c>
      <c r="AW176" s="838" t="str">
        <f>IFERROR("_"&amp;VLOOKUP(K176, 【参考】数式用２!$AG$2:$AH$48, 2, FALSE), "")</f>
        <v>_A2</v>
      </c>
      <c r="AX176" s="1138" t="str">
        <f>IF(AND(P176="処遇改善加算Ⅰ", AL176=""), "未入力","入力済")</f>
        <v>入力済</v>
      </c>
      <c r="AY176" s="1120" t="str">
        <f>G176</f>
        <v>千代田区</v>
      </c>
      <c r="AZ176"/>
      <c r="BA176"/>
      <c r="BB176"/>
      <c r="BC176"/>
      <c r="BD176"/>
      <c r="BE176"/>
      <c r="BF176"/>
      <c r="BG176"/>
    </row>
    <row r="177" spans="1:59" ht="14.4">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4">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1111111149</v>
      </c>
      <c r="C180" s="1077"/>
      <c r="D180" s="1077"/>
      <c r="E180" s="1077"/>
      <c r="F180" s="1078"/>
      <c r="G180" s="1084" t="str">
        <f>IF(基本情報入力シート!L82="", "",基本情報入力シート!L82)</f>
        <v>千代田区</v>
      </c>
      <c r="H180" s="1084" t="str">
        <f>IF(基本情報入力シート!Q82="", "",基本情報入力シート!Q82)</f>
        <v>東京都</v>
      </c>
      <c r="I180" s="1084" t="str">
        <f>IF(基本情報入力シート!V82="", "",基本情報入力シート!V82)</f>
        <v>千代田区</v>
      </c>
      <c r="J180" s="1084" t="str">
        <f>IF(基本情報入力シート!W82="", "",基本情報入力シート!W82)</f>
        <v>○○ホームヘルプ</v>
      </c>
      <c r="K180" s="1084" t="str">
        <f>IF(基本情報入力シート!X82="", "",基本情報入力シート!X82)</f>
        <v>訪問型サービス（独自／定率）</v>
      </c>
      <c r="L180" s="1087">
        <f>IF(基本情報入力シート!AC82=0, "",基本情報入力シート!AC82)</f>
        <v>750000</v>
      </c>
      <c r="M180" s="1090" t="str">
        <f>IF(基本情報入力シート!AD82="", "",基本情報入力シート!AD82)</f>
        <v>数式を削除して手入力</v>
      </c>
      <c r="N180" s="1071" t="s">
        <v>485</v>
      </c>
      <c r="O180" s="1056">
        <f>IFERROR(VLOOKUP(K180,【参考】数式用２!$A$2:$AD$48,MATCH(N180,【参考】数式用２!$C$4:$AD$4,0)+2,0),"")</f>
        <v>0.14499999999999999</v>
      </c>
      <c r="P180" s="1139" t="s">
        <v>476</v>
      </c>
      <c r="Q180" s="1142">
        <f>IFERROR(VLOOKUP(K180,【参考】数式用２!$A$2:$AC$48,MATCH(P180,【参考】数式用２!$C$4:$AC$4,0)+2,0),"")</f>
        <v>0.245</v>
      </c>
      <c r="R180" s="1145" t="s">
        <v>388</v>
      </c>
      <c r="S180" s="1148">
        <v>7</v>
      </c>
      <c r="T180" s="1065" t="s">
        <v>477</v>
      </c>
      <c r="U180" s="1148">
        <v>4</v>
      </c>
      <c r="V180" s="1065" t="s">
        <v>478</v>
      </c>
      <c r="W180" s="1148">
        <v>8</v>
      </c>
      <c r="X180" s="1065" t="s">
        <v>477</v>
      </c>
      <c r="Y180" s="1148">
        <v>3</v>
      </c>
      <c r="Z180" s="1065" t="s">
        <v>479</v>
      </c>
      <c r="AA180" s="1065" t="s">
        <v>291</v>
      </c>
      <c r="AB180" s="1065">
        <f>IF(S180&gt;=1,(W180*12+Y180)-(S180*12+U180)+1,"")</f>
        <v>12</v>
      </c>
      <c r="AC180" s="1068" t="s">
        <v>480</v>
      </c>
      <c r="AD180" s="1059" t="str">
        <f>IFERROR(ROUNDDOWN(ROUND(L180*Q180,0)*M180,0)*AB180,"")</f>
        <v/>
      </c>
      <c r="AE180" s="1062" t="str">
        <f>IFERROR(ROUNDDOWN(ROUNDDOWN(ROUND(L180*VLOOKUP(K180,【参考】数式用２!$A$2:$AC$48,MATCH("処遇改善加算Ⅳ",【参考】数式用２!$C$4:$O$4,0)+2,0),0)*M180,0)*AB180*0.5,0), "")</f>
        <v/>
      </c>
      <c r="AF180" s="1125" t="s">
        <v>47</v>
      </c>
      <c r="AG180" s="1059" t="str">
        <f>IF(AND(AQ180&lt;&gt;"対象外", P180&lt;&gt;""),ROUNDDOWN(ROUND(L180*VLOOKUP(K180,【参考】数式用２!$A$2:$K$48,MATCH("ベア加算あり",【参考】数式用２!$C$4:$K$4,0)+2,0),0)*M180,0)*AB180,"")</f>
        <v/>
      </c>
      <c r="AH180" s="1128"/>
      <c r="AI180" s="1125" t="s">
        <v>47</v>
      </c>
      <c r="AJ180" s="1125" t="s">
        <v>47</v>
      </c>
      <c r="AK180" s="1131"/>
      <c r="AL180" s="1134" t="s">
        <v>503</v>
      </c>
      <c r="AM180" s="690" t="str">
        <f t="shared" ref="AM180" si="123">IF(Q180="","",IF(Q180&lt;O180,"！加算の要件上は問題ありませんが、令和６年度末の加算率と比較して、令和７年度の加算率が低くなっています。",""))</f>
        <v/>
      </c>
      <c r="AN180" s="385"/>
      <c r="AO180" s="1120" t="str">
        <f>IF(K180&lt;&gt;"","Q列に色付け","")</f>
        <v>Q列に色付け</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対象外</v>
      </c>
      <c r="AV180" s="838" t="str">
        <f>IF(AND(P180&lt;&gt;"処遇改善加算Ⅲ",P180&lt;&gt;"処遇改善加算Ⅳ", P180&lt;&gt;"", AU180&lt;&gt;"対象外"), 1,"")</f>
        <v/>
      </c>
      <c r="AW180" s="838" t="str">
        <f>IFERROR("_"&amp;VLOOKUP(K180, 【参考】数式用２!$AG$2:$AH$48, 2, FALSE), "")</f>
        <v>_A3</v>
      </c>
      <c r="AX180" s="1138" t="str">
        <f>IF(AND(P180="処遇改善加算Ⅰ", AL180=""), "未入力","入力済")</f>
        <v>入力済</v>
      </c>
      <c r="AY180" s="1120" t="str">
        <f>G180</f>
        <v>千代田区</v>
      </c>
      <c r="AZ180"/>
      <c r="BA180"/>
      <c r="BB180"/>
      <c r="BC180"/>
      <c r="BD180"/>
      <c r="BE180"/>
      <c r="BF180"/>
      <c r="BG180"/>
    </row>
    <row r="181" spans="1:59" ht="14.4">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4">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1111111150</v>
      </c>
      <c r="C184" s="1077"/>
      <c r="D184" s="1077"/>
      <c r="E184" s="1077"/>
      <c r="F184" s="1078"/>
      <c r="G184" s="1084" t="str">
        <f>IF(基本情報入力シート!L83="", "",基本情報入力シート!L83)</f>
        <v>千代田区</v>
      </c>
      <c r="H184" s="1084" t="str">
        <f>IF(基本情報入力シート!Q83="", "",基本情報入力シート!Q83)</f>
        <v>東京都</v>
      </c>
      <c r="I184" s="1084" t="str">
        <f>IF(基本情報入力シート!V83="", "",基本情報入力シート!V83)</f>
        <v>千代田区</v>
      </c>
      <c r="J184" s="1084" t="str">
        <f>IF(基本情報入力シート!W83="", "",基本情報入力シート!W83)</f>
        <v>○○ホームヘルプ</v>
      </c>
      <c r="K184" s="1084" t="str">
        <f>IF(基本情報入力シート!X83="", "",基本情報入力シート!X83)</f>
        <v>訪問型サービス（独自／定額）</v>
      </c>
      <c r="L184" s="1087">
        <f>IF(基本情報入力シート!AC83=0, "",基本情報入力シート!AC83)</f>
        <v>750000</v>
      </c>
      <c r="M184" s="1090" t="str">
        <f>IF(基本情報入力シート!AD83="", "",基本情報入力シート!AD83)</f>
        <v>数式を削除して手入力</v>
      </c>
      <c r="N184" s="1071" t="s">
        <v>485</v>
      </c>
      <c r="O184" s="1056">
        <f>IFERROR(VLOOKUP(K184,【参考】数式用２!$A$2:$AD$48,MATCH(N184,【参考】数式用２!$C$4:$AD$4,0)+2,0),"")</f>
        <v>0.14499999999999999</v>
      </c>
      <c r="P184" s="1139" t="s">
        <v>476</v>
      </c>
      <c r="Q184" s="1142">
        <f>IFERROR(VLOOKUP(K184,【参考】数式用２!$A$2:$AC$48,MATCH(P184,【参考】数式用２!$C$4:$AC$4,0)+2,0),"")</f>
        <v>0.245</v>
      </c>
      <c r="R184" s="1145" t="s">
        <v>388</v>
      </c>
      <c r="S184" s="1148">
        <v>7</v>
      </c>
      <c r="T184" s="1065" t="s">
        <v>477</v>
      </c>
      <c r="U184" s="1148">
        <v>4</v>
      </c>
      <c r="V184" s="1065" t="s">
        <v>478</v>
      </c>
      <c r="W184" s="1148">
        <v>8</v>
      </c>
      <c r="X184" s="1065" t="s">
        <v>477</v>
      </c>
      <c r="Y184" s="1148">
        <v>3</v>
      </c>
      <c r="Z184" s="1065" t="s">
        <v>479</v>
      </c>
      <c r="AA184" s="1065" t="s">
        <v>291</v>
      </c>
      <c r="AB184" s="1065">
        <f>IF(S184&gt;=1,(W184*12+Y184)-(S184*12+U184)+1,"")</f>
        <v>12</v>
      </c>
      <c r="AC184" s="1068" t="s">
        <v>480</v>
      </c>
      <c r="AD184" s="1059" t="str">
        <f>IFERROR(ROUNDDOWN(ROUND(L184*Q184,0)*M184,0)*AB184,"")</f>
        <v/>
      </c>
      <c r="AE184" s="1062" t="str">
        <f>IFERROR(ROUNDDOWN(ROUNDDOWN(ROUND(L184*VLOOKUP(K184,【参考】数式用２!$A$2:$AC$48,MATCH("処遇改善加算Ⅳ",【参考】数式用２!$C$4:$O$4,0)+2,0),0)*M184,0)*AB184*0.5,0), "")</f>
        <v/>
      </c>
      <c r="AF184" s="1125" t="s">
        <v>47</v>
      </c>
      <c r="AG184" s="1059" t="str">
        <f>IF(AND(AQ184&lt;&gt;"対象外", P184&lt;&gt;""),ROUNDDOWN(ROUND(L184*VLOOKUP(K184,【参考】数式用２!$A$2:$K$48,MATCH("ベア加算あり",【参考】数式用２!$C$4:$K$4,0)+2,0),0)*M184,0)*AB184,"")</f>
        <v/>
      </c>
      <c r="AH184" s="1128"/>
      <c r="AI184" s="1125" t="s">
        <v>47</v>
      </c>
      <c r="AJ184" s="1125" t="s">
        <v>481</v>
      </c>
      <c r="AK184" s="1131"/>
      <c r="AL184" s="1134" t="s">
        <v>503</v>
      </c>
      <c r="AM184" s="690" t="str">
        <f t="shared" ref="AM184" si="126">IF(Q184="","",IF(Q184&lt;O184,"！加算の要件上は問題ありませんが、令和６年度末の加算率と比較して、令和７年度の加算率が低くなっています。",""))</f>
        <v/>
      </c>
      <c r="AN184" s="385"/>
      <c r="AO184" s="1121" t="str">
        <f>IF(K184&lt;&gt;"","Q列に色付け","")</f>
        <v>Q列に色付け</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対象外</v>
      </c>
      <c r="AV184" s="838" t="str">
        <f>IF(AND(P184&lt;&gt;"処遇改善加算Ⅲ",P184&lt;&gt;"処遇改善加算Ⅳ", P184&lt;&gt;"", AU184&lt;&gt;"対象外"), 1,"")</f>
        <v/>
      </c>
      <c r="AW184" s="838" t="str">
        <f>IFERROR("_"&amp;VLOOKUP(K184, 【参考】数式用２!$AG$2:$AH$48, 2, FALSE), "")</f>
        <v>_A4</v>
      </c>
      <c r="AX184" s="1138" t="str">
        <f>IF(AND(P184="処遇改善加算Ⅰ", AL184=""), "未入力","入力済")</f>
        <v>入力済</v>
      </c>
      <c r="AY184" s="1120" t="str">
        <f>G184</f>
        <v>千代田区</v>
      </c>
      <c r="AZ184"/>
      <c r="BA184"/>
      <c r="BB184"/>
      <c r="BC184"/>
      <c r="BD184"/>
      <c r="BE184"/>
      <c r="BF184"/>
      <c r="BG184"/>
    </row>
    <row r="185" spans="1:59" ht="14.4">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4">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1111111151</v>
      </c>
      <c r="C188" s="1077"/>
      <c r="D188" s="1077"/>
      <c r="E188" s="1077"/>
      <c r="F188" s="1078"/>
      <c r="G188" s="1084" t="str">
        <f>IF(基本情報入力シート!L84="", "",基本情報入力シート!L84)</f>
        <v>千代田区</v>
      </c>
      <c r="H188" s="1084" t="str">
        <f>IF(基本情報入力シート!Q84="", "",基本情報入力シート!Q84)</f>
        <v>東京都</v>
      </c>
      <c r="I188" s="1084" t="str">
        <f>IF(基本情報入力シート!V84="", "",基本情報入力シート!V84)</f>
        <v>千代田区</v>
      </c>
      <c r="J188" s="1084" t="str">
        <f>IF(基本情報入力シート!W84="", "",基本情報入力シート!W84)</f>
        <v>○○デイケア</v>
      </c>
      <c r="K188" s="1084" t="str">
        <f>IF(基本情報入力シート!X84="", "",基本情報入力シート!X84)</f>
        <v>通所型サービス（独自）</v>
      </c>
      <c r="L188" s="1087">
        <f>IF(基本情報入力シート!AC84=0, "",基本情報入力シート!AC84)</f>
        <v>750000</v>
      </c>
      <c r="M188" s="1090" t="str">
        <f>IF(基本情報入力シート!AD84="", "",基本情報入力シート!AD84)</f>
        <v>数式を削除して手入力</v>
      </c>
      <c r="N188" s="1071" t="s">
        <v>485</v>
      </c>
      <c r="O188" s="1056">
        <f>IFERROR(VLOOKUP(K188,【参考】数式用２!$A$2:$AD$48,MATCH(N188,【参考】数式用２!$C$4:$AD$4,0)+2,0),"")</f>
        <v>6.3999999999999987E-2</v>
      </c>
      <c r="P188" s="1139" t="s">
        <v>476</v>
      </c>
      <c r="Q188" s="1142">
        <f>IFERROR(VLOOKUP(K188,【参考】数式用２!$A$2:$AC$48,MATCH(P188,【参考】数式用２!$C$4:$AC$4,0)+2,0),"")</f>
        <v>9.1999999999999985E-2</v>
      </c>
      <c r="R188" s="1145" t="s">
        <v>388</v>
      </c>
      <c r="S188" s="1148">
        <v>7</v>
      </c>
      <c r="T188" s="1065" t="s">
        <v>477</v>
      </c>
      <c r="U188" s="1148">
        <v>4</v>
      </c>
      <c r="V188" s="1065" t="s">
        <v>478</v>
      </c>
      <c r="W188" s="1148">
        <v>8</v>
      </c>
      <c r="X188" s="1065" t="s">
        <v>477</v>
      </c>
      <c r="Y188" s="1148">
        <v>3</v>
      </c>
      <c r="Z188" s="1065" t="s">
        <v>479</v>
      </c>
      <c r="AA188" s="1065" t="s">
        <v>291</v>
      </c>
      <c r="AB188" s="1065">
        <f>IF(S188&gt;=1,(W188*12+Y188)-(S188*12+U188)+1,"")</f>
        <v>12</v>
      </c>
      <c r="AC188" s="1068" t="s">
        <v>480</v>
      </c>
      <c r="AD188" s="1059" t="str">
        <f>IFERROR(ROUNDDOWN(ROUND(L188*Q188,0)*M188,0)*AB188,"")</f>
        <v/>
      </c>
      <c r="AE188" s="1062" t="str">
        <f>IFERROR(ROUNDDOWN(ROUNDDOWN(ROUND(L188*VLOOKUP(K188,【参考】数式用２!$A$2:$AC$48,MATCH("処遇改善加算Ⅳ",【参考】数式用２!$C$4:$O$4,0)+2,0),0)*M188,0)*AB188*0.5,0), "")</f>
        <v/>
      </c>
      <c r="AF188" s="1125" t="s">
        <v>47</v>
      </c>
      <c r="AG188" s="1059" t="str">
        <f>IF(AND(AQ188&lt;&gt;"対象外", P188&lt;&gt;""),ROUNDDOWN(ROUND(L188*VLOOKUP(K188,【参考】数式用２!$A$2:$K$48,MATCH("ベア加算あり",【参考】数式用２!$C$4:$K$4,0)+2,0),0)*M188,0)*AB188,"")</f>
        <v/>
      </c>
      <c r="AH188" s="1128"/>
      <c r="AI188" s="1125" t="s">
        <v>481</v>
      </c>
      <c r="AJ188" s="1125" t="s">
        <v>481</v>
      </c>
      <c r="AK188" s="1131"/>
      <c r="AL188" s="1134" t="s">
        <v>504</v>
      </c>
      <c r="AM188" s="690" t="str">
        <f t="shared" ref="AM188" si="129">IF(Q188="","",IF(Q188&lt;O188,"！加算の要件上は問題ありませんが、令和６年度末の加算率と比較して、令和７年度の加算率が低くなっています。",""))</f>
        <v/>
      </c>
      <c r="AN188" s="385"/>
      <c r="AO188" s="1120" t="str">
        <f>IF(K188&lt;&gt;"","Q列に色付け","")</f>
        <v>Q列に色付け</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対象外</v>
      </c>
      <c r="AV188" s="838" t="str">
        <f>IF(AND(P188&lt;&gt;"処遇改善加算Ⅲ",P188&lt;&gt;"処遇改善加算Ⅳ", P188&lt;&gt;"", AU188&lt;&gt;"対象外"), 1,"")</f>
        <v/>
      </c>
      <c r="AW188" s="838" t="str">
        <f>IFERROR("_"&amp;VLOOKUP(K188, 【参考】数式用２!$AG$2:$AH$48, 2, FALSE), "")</f>
        <v>_A6</v>
      </c>
      <c r="AX188" s="1138" t="str">
        <f>IF(AND(P188="処遇改善加算Ⅰ", AL188=""), "未入力","入力済")</f>
        <v>入力済</v>
      </c>
      <c r="AY188" s="1120" t="str">
        <f>G188</f>
        <v>千代田区</v>
      </c>
      <c r="AZ188"/>
      <c r="BA188"/>
      <c r="BB188"/>
      <c r="BC188"/>
      <c r="BD188"/>
      <c r="BE188"/>
      <c r="BF188"/>
      <c r="BG188"/>
    </row>
    <row r="189" spans="1:59" ht="14.4">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4">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1111111152</v>
      </c>
      <c r="C192" s="1077"/>
      <c r="D192" s="1077"/>
      <c r="E192" s="1077"/>
      <c r="F192" s="1078"/>
      <c r="G192" s="1084" t="str">
        <f>IF(基本情報入力シート!L85="", "",基本情報入力シート!L85)</f>
        <v>千代田区</v>
      </c>
      <c r="H192" s="1084" t="str">
        <f>IF(基本情報入力シート!Q85="", "",基本情報入力シート!Q85)</f>
        <v>東京都</v>
      </c>
      <c r="I192" s="1084" t="str">
        <f>IF(基本情報入力シート!V85="", "",基本情報入力シート!V85)</f>
        <v>千代田区</v>
      </c>
      <c r="J192" s="1084" t="str">
        <f>IF(基本情報入力シート!W85="", "",基本情報入力シート!W85)</f>
        <v>○○デイケア</v>
      </c>
      <c r="K192" s="1084" t="str">
        <f>IF(基本情報入力シート!X85="", "",基本情報入力シート!X85)</f>
        <v>通所型サービス（独自／定率）</v>
      </c>
      <c r="L192" s="1087">
        <f>IF(基本情報入力シート!AC85=0, "",基本情報入力シート!AC85)</f>
        <v>750000</v>
      </c>
      <c r="M192" s="1090" t="str">
        <f>IF(基本情報入力シート!AD85="", "",基本情報入力シート!AD85)</f>
        <v>数式を削除して手入力</v>
      </c>
      <c r="N192" s="1071" t="s">
        <v>485</v>
      </c>
      <c r="O192" s="1056">
        <f>IFERROR(VLOOKUP(K192,【参考】数式用２!$A$2:$AD$48,MATCH(N192,【参考】数式用２!$C$4:$AD$4,0)+2,0),"")</f>
        <v>6.3999999999999987E-2</v>
      </c>
      <c r="P192" s="1139" t="s">
        <v>476</v>
      </c>
      <c r="Q192" s="1142">
        <f>IFERROR(VLOOKUP(K192,【参考】数式用２!$A$2:$AC$48,MATCH(P192,【参考】数式用２!$C$4:$AC$4,0)+2,0),"")</f>
        <v>9.1999999999999985E-2</v>
      </c>
      <c r="R192" s="1145" t="s">
        <v>388</v>
      </c>
      <c r="S192" s="1148">
        <v>7</v>
      </c>
      <c r="T192" s="1065" t="s">
        <v>477</v>
      </c>
      <c r="U192" s="1148">
        <v>4</v>
      </c>
      <c r="V192" s="1065" t="s">
        <v>478</v>
      </c>
      <c r="W192" s="1148">
        <v>8</v>
      </c>
      <c r="X192" s="1065" t="s">
        <v>477</v>
      </c>
      <c r="Y192" s="1148">
        <v>3</v>
      </c>
      <c r="Z192" s="1065" t="s">
        <v>479</v>
      </c>
      <c r="AA192" s="1065" t="s">
        <v>291</v>
      </c>
      <c r="AB192" s="1065">
        <f>IF(S192&gt;=1,(W192*12+Y192)-(S192*12+U192)+1,"")</f>
        <v>12</v>
      </c>
      <c r="AC192" s="1068" t="s">
        <v>480</v>
      </c>
      <c r="AD192" s="1059" t="str">
        <f>IFERROR(ROUNDDOWN(ROUND(L192*Q192,0)*M192,0)*AB192,"")</f>
        <v/>
      </c>
      <c r="AE192" s="1062" t="str">
        <f>IFERROR(ROUNDDOWN(ROUNDDOWN(ROUND(L192*VLOOKUP(K192,【参考】数式用２!$A$2:$AC$48,MATCH("処遇改善加算Ⅳ",【参考】数式用２!$C$4:$O$4,0)+2,0),0)*M192,0)*AB192*0.5,0), "")</f>
        <v/>
      </c>
      <c r="AF192" s="1125" t="s">
        <v>47</v>
      </c>
      <c r="AG192" s="1059" t="str">
        <f>IF(AND(AQ192&lt;&gt;"対象外", P192&lt;&gt;""),ROUNDDOWN(ROUND(L192*VLOOKUP(K192,【参考】数式用２!$A$2:$K$48,MATCH("ベア加算あり",【参考】数式用２!$C$4:$K$4,0)+2,0),0)*M192,0)*AB192,"")</f>
        <v/>
      </c>
      <c r="AH192" s="1128"/>
      <c r="AI192" s="1125" t="s">
        <v>481</v>
      </c>
      <c r="AJ192" s="1125" t="s">
        <v>47</v>
      </c>
      <c r="AK192" s="1131"/>
      <c r="AL192" s="1134" t="s">
        <v>504</v>
      </c>
      <c r="AM192" s="690" t="str">
        <f t="shared" ref="AM192" si="132">IF(Q192="","",IF(Q192&lt;O192,"！加算の要件上は問題ありませんが、令和６年度末の加算率と比較して、令和７年度の加算率が低くなっています。",""))</f>
        <v/>
      </c>
      <c r="AN192" s="385"/>
      <c r="AO192" s="1121" t="str">
        <f>IF(K192&lt;&gt;"","Q列に色付け","")</f>
        <v>Q列に色付け</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対象外</v>
      </c>
      <c r="AV192" s="838" t="str">
        <f>IF(AND(P192&lt;&gt;"処遇改善加算Ⅲ",P192&lt;&gt;"処遇改善加算Ⅳ", P192&lt;&gt;"", AU192&lt;&gt;"対象外"), 1,"")</f>
        <v/>
      </c>
      <c r="AW192" s="838" t="str">
        <f>IFERROR("_"&amp;VLOOKUP(K192, 【参考】数式用２!$AG$2:$AH$48, 2, FALSE), "")</f>
        <v>_A7</v>
      </c>
      <c r="AX192" s="1138" t="str">
        <f>IF(AND(P192="処遇改善加算Ⅰ", AL192=""), "未入力","入力済")</f>
        <v>入力済</v>
      </c>
      <c r="AY192" s="1120" t="str">
        <f>G192</f>
        <v>千代田区</v>
      </c>
      <c r="AZ192"/>
      <c r="BA192"/>
      <c r="BB192"/>
      <c r="BC192"/>
      <c r="BD192"/>
      <c r="BE192"/>
      <c r="BF192"/>
      <c r="BG192"/>
    </row>
    <row r="193" spans="1:59" ht="14.4">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4">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1111111153</v>
      </c>
      <c r="C196" s="1077"/>
      <c r="D196" s="1077"/>
      <c r="E196" s="1077"/>
      <c r="F196" s="1078"/>
      <c r="G196" s="1084" t="str">
        <f>IF(基本情報入力シート!L86="", "",基本情報入力シート!L86)</f>
        <v>千代田区</v>
      </c>
      <c r="H196" s="1084" t="str">
        <f>IF(基本情報入力シート!Q86="", "",基本情報入力シート!Q86)</f>
        <v>東京都</v>
      </c>
      <c r="I196" s="1084" t="str">
        <f>IF(基本情報入力シート!V86="", "",基本情報入力シート!V86)</f>
        <v>千代田区</v>
      </c>
      <c r="J196" s="1084" t="str">
        <f>IF(基本情報入力シート!W86="", "",基本情報入力シート!W86)</f>
        <v>○○デイケア</v>
      </c>
      <c r="K196" s="1084" t="str">
        <f>IF(基本情報入力シート!X86="", "",基本情報入力シート!X86)</f>
        <v>通所型サービス（独自／定額）</v>
      </c>
      <c r="L196" s="1087">
        <f>IF(基本情報入力シート!AC86=0, "",基本情報入力シート!AC86)</f>
        <v>750000</v>
      </c>
      <c r="M196" s="1090" t="str">
        <f>IF(基本情報入力シート!AD86="", "",基本情報入力シート!AD86)</f>
        <v>数式を削除して手入力</v>
      </c>
      <c r="N196" s="1071" t="s">
        <v>485</v>
      </c>
      <c r="O196" s="1056">
        <f>IFERROR(VLOOKUP(K196,【参考】数式用２!$A$2:$AD$48,MATCH(N196,【参考】数式用２!$C$4:$AD$4,0)+2,0),"")</f>
        <v>6.3999999999999987E-2</v>
      </c>
      <c r="P196" s="1139" t="s">
        <v>476</v>
      </c>
      <c r="Q196" s="1142">
        <f>IFERROR(VLOOKUP(K196,【参考】数式用２!$A$2:$AC$48,MATCH(P196,【参考】数式用２!$C$4:$AC$4,0)+2,0),"")</f>
        <v>9.1999999999999985E-2</v>
      </c>
      <c r="R196" s="1145" t="s">
        <v>388</v>
      </c>
      <c r="S196" s="1148">
        <v>7</v>
      </c>
      <c r="T196" s="1065" t="s">
        <v>477</v>
      </c>
      <c r="U196" s="1148">
        <v>4</v>
      </c>
      <c r="V196" s="1065" t="s">
        <v>478</v>
      </c>
      <c r="W196" s="1148">
        <v>8</v>
      </c>
      <c r="X196" s="1065" t="s">
        <v>477</v>
      </c>
      <c r="Y196" s="1148">
        <v>3</v>
      </c>
      <c r="Z196" s="1065" t="s">
        <v>479</v>
      </c>
      <c r="AA196" s="1065" t="s">
        <v>291</v>
      </c>
      <c r="AB196" s="1065">
        <f>IF(S196&gt;=1,(W196*12+Y196)-(S196*12+U196)+1,"")</f>
        <v>12</v>
      </c>
      <c r="AC196" s="1068" t="s">
        <v>480</v>
      </c>
      <c r="AD196" s="1059" t="str">
        <f>IFERROR(ROUNDDOWN(ROUND(L196*Q196,0)*M196,0)*AB196,"")</f>
        <v/>
      </c>
      <c r="AE196" s="1062" t="str">
        <f>IFERROR(ROUNDDOWN(ROUNDDOWN(ROUND(L196*VLOOKUP(K196,【参考】数式用２!$A$2:$AC$48,MATCH("処遇改善加算Ⅳ",【参考】数式用２!$C$4:$O$4,0)+2,0),0)*M196,0)*AB196*0.5,0), "")</f>
        <v/>
      </c>
      <c r="AF196" s="1125" t="s">
        <v>47</v>
      </c>
      <c r="AG196" s="1059" t="str">
        <f>IF(AND(AQ196&lt;&gt;"対象外", P196&lt;&gt;""),ROUNDDOWN(ROUND(L196*VLOOKUP(K196,【参考】数式用２!$A$2:$K$48,MATCH("ベア加算あり",【参考】数式用２!$C$4:$K$4,0)+2,0),0)*M196,0)*AB196,"")</f>
        <v/>
      </c>
      <c r="AH196" s="1128"/>
      <c r="AI196" s="1125" t="s">
        <v>47</v>
      </c>
      <c r="AJ196" s="1125" t="s">
        <v>481</v>
      </c>
      <c r="AK196" s="1131"/>
      <c r="AL196" s="1134" t="s">
        <v>504</v>
      </c>
      <c r="AM196" s="690" t="str">
        <f t="shared" ref="AM196" si="135">IF(Q196="","",IF(Q196&lt;O196,"！加算の要件上は問題ありませんが、令和６年度末の加算率と比較して、令和７年度の加算率が低くなっています。",""))</f>
        <v/>
      </c>
      <c r="AN196" s="385"/>
      <c r="AO196" s="1120" t="str">
        <f>IF(K196&lt;&gt;"","Q列に色付け","")</f>
        <v>Q列に色付け</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対象外</v>
      </c>
      <c r="AV196" s="838" t="str">
        <f>IF(AND(P196&lt;&gt;"処遇改善加算Ⅲ",P196&lt;&gt;"処遇改善加算Ⅳ", P196&lt;&gt;"", AU196&lt;&gt;"対象外"), 1,"")</f>
        <v/>
      </c>
      <c r="AW196" s="838" t="str">
        <f>IFERROR("_"&amp;VLOOKUP(K196, 【参考】数式用２!$AG$2:$AH$48, 2, FALSE), "")</f>
        <v>_A8</v>
      </c>
      <c r="AX196" s="1138" t="str">
        <f>IF(AND(P196="処遇改善加算Ⅰ", AL196=""), "未入力","入力済")</f>
        <v>入力済</v>
      </c>
      <c r="AY196" s="1120" t="str">
        <f>G196</f>
        <v>千代田区</v>
      </c>
      <c r="AZ196"/>
      <c r="BA196"/>
      <c r="BB196"/>
      <c r="BC196"/>
      <c r="BD196"/>
      <c r="BE196"/>
      <c r="BF196"/>
      <c r="BG196"/>
    </row>
    <row r="197" spans="1:59" ht="14.4">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4">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388</v>
      </c>
      <c r="S200" s="1148"/>
      <c r="T200" s="1065" t="s">
        <v>477</v>
      </c>
      <c r="U200" s="1148"/>
      <c r="V200" s="1065" t="s">
        <v>478</v>
      </c>
      <c r="W200" s="1148"/>
      <c r="X200" s="1065" t="s">
        <v>477</v>
      </c>
      <c r="Y200" s="1148"/>
      <c r="Z200" s="1065" t="s">
        <v>479</v>
      </c>
      <c r="AA200" s="1065" t="s">
        <v>291</v>
      </c>
      <c r="AB200" s="1065" t="str">
        <f>IF(S200&gt;=1,(W200*12+Y200)-(S200*12+U200)+1,"")</f>
        <v/>
      </c>
      <c r="AC200" s="1068" t="s">
        <v>480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0"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4">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4">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388</v>
      </c>
      <c r="S204" s="1148"/>
      <c r="T204" s="1065" t="s">
        <v>477</v>
      </c>
      <c r="U204" s="1148"/>
      <c r="V204" s="1065" t="s">
        <v>478</v>
      </c>
      <c r="W204" s="1148"/>
      <c r="X204" s="1065" t="s">
        <v>477</v>
      </c>
      <c r="Y204" s="1148"/>
      <c r="Z204" s="1065" t="s">
        <v>479</v>
      </c>
      <c r="AA204" s="1065" t="s">
        <v>291</v>
      </c>
      <c r="AB204" s="1065" t="str">
        <f>IF(S204&gt;=1,(W204*12+Y204)-(S204*12+U204)+1,"")</f>
        <v/>
      </c>
      <c r="AC204" s="1068" t="s">
        <v>480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0"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4">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4">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388</v>
      </c>
      <c r="S208" s="1148"/>
      <c r="T208" s="1065" t="s">
        <v>477</v>
      </c>
      <c r="U208" s="1148"/>
      <c r="V208" s="1065" t="s">
        <v>478</v>
      </c>
      <c r="W208" s="1148"/>
      <c r="X208" s="1065" t="s">
        <v>477</v>
      </c>
      <c r="Y208" s="1148"/>
      <c r="Z208" s="1065" t="s">
        <v>479</v>
      </c>
      <c r="AA208" s="1065" t="s">
        <v>291</v>
      </c>
      <c r="AB208" s="1065" t="str">
        <f>IF(S208&gt;=1,(W208*12+Y208)-(S208*12+U208)+1,"")</f>
        <v/>
      </c>
      <c r="AC208" s="1068" t="s">
        <v>480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0"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4">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4">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388</v>
      </c>
      <c r="S212" s="1148"/>
      <c r="T212" s="1065" t="s">
        <v>477</v>
      </c>
      <c r="U212" s="1148"/>
      <c r="V212" s="1065" t="s">
        <v>478</v>
      </c>
      <c r="W212" s="1148"/>
      <c r="X212" s="1065" t="s">
        <v>477</v>
      </c>
      <c r="Y212" s="1148"/>
      <c r="Z212" s="1065" t="s">
        <v>479</v>
      </c>
      <c r="AA212" s="1065" t="s">
        <v>291</v>
      </c>
      <c r="AB212" s="1065" t="str">
        <f>IF(S212&gt;=1,(W212*12+Y212)-(S212*12+U212)+1,"")</f>
        <v/>
      </c>
      <c r="AC212" s="1068" t="s">
        <v>480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0"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4">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4">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388</v>
      </c>
      <c r="S216" s="1148"/>
      <c r="T216" s="1065" t="s">
        <v>477</v>
      </c>
      <c r="U216" s="1148"/>
      <c r="V216" s="1065" t="s">
        <v>478</v>
      </c>
      <c r="W216" s="1148"/>
      <c r="X216" s="1065" t="s">
        <v>477</v>
      </c>
      <c r="Y216" s="1148"/>
      <c r="Z216" s="1065" t="s">
        <v>479</v>
      </c>
      <c r="AA216" s="1065" t="s">
        <v>291</v>
      </c>
      <c r="AB216" s="1065" t="str">
        <f>IF(S216&gt;=1,(W216*12+Y216)-(S216*12+U216)+1,"")</f>
        <v/>
      </c>
      <c r="AC216" s="1068" t="s">
        <v>480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0"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4">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4">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388</v>
      </c>
      <c r="S220" s="1148"/>
      <c r="T220" s="1065" t="s">
        <v>477</v>
      </c>
      <c r="U220" s="1148"/>
      <c r="V220" s="1065" t="s">
        <v>478</v>
      </c>
      <c r="W220" s="1148"/>
      <c r="X220" s="1065" t="s">
        <v>477</v>
      </c>
      <c r="Y220" s="1148"/>
      <c r="Z220" s="1065" t="s">
        <v>479</v>
      </c>
      <c r="AA220" s="1065" t="s">
        <v>291</v>
      </c>
      <c r="AB220" s="1065" t="str">
        <f>IF(S220&gt;=1,(W220*12+Y220)-(S220*12+U220)+1,"")</f>
        <v/>
      </c>
      <c r="AC220" s="1068" t="s">
        <v>480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0"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4">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4">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388</v>
      </c>
      <c r="S224" s="1148"/>
      <c r="T224" s="1065" t="s">
        <v>477</v>
      </c>
      <c r="U224" s="1148"/>
      <c r="V224" s="1065" t="s">
        <v>478</v>
      </c>
      <c r="W224" s="1148"/>
      <c r="X224" s="1065" t="s">
        <v>477</v>
      </c>
      <c r="Y224" s="1148"/>
      <c r="Z224" s="1065" t="s">
        <v>479</v>
      </c>
      <c r="AA224" s="1065" t="s">
        <v>291</v>
      </c>
      <c r="AB224" s="1065" t="str">
        <f>IF(S224&gt;=1,(W224*12+Y224)-(S224*12+U224)+1,"")</f>
        <v/>
      </c>
      <c r="AC224" s="1068" t="s">
        <v>480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0"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4">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4">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388</v>
      </c>
      <c r="S228" s="1148"/>
      <c r="T228" s="1065" t="s">
        <v>477</v>
      </c>
      <c r="U228" s="1148"/>
      <c r="V228" s="1065" t="s">
        <v>478</v>
      </c>
      <c r="W228" s="1148"/>
      <c r="X228" s="1065" t="s">
        <v>477</v>
      </c>
      <c r="Y228" s="1148"/>
      <c r="Z228" s="1065" t="s">
        <v>479</v>
      </c>
      <c r="AA228" s="1065" t="s">
        <v>291</v>
      </c>
      <c r="AB228" s="1065" t="str">
        <f>IF(S228&gt;=1,(W228*12+Y228)-(S228*12+U228)+1,"")</f>
        <v/>
      </c>
      <c r="AC228" s="1068" t="s">
        <v>480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0"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4">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4">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388</v>
      </c>
      <c r="S232" s="1148"/>
      <c r="T232" s="1065" t="s">
        <v>477</v>
      </c>
      <c r="U232" s="1148"/>
      <c r="V232" s="1065" t="s">
        <v>478</v>
      </c>
      <c r="W232" s="1148"/>
      <c r="X232" s="1065" t="s">
        <v>477</v>
      </c>
      <c r="Y232" s="1148"/>
      <c r="Z232" s="1065" t="s">
        <v>479</v>
      </c>
      <c r="AA232" s="1065" t="s">
        <v>291</v>
      </c>
      <c r="AB232" s="1065" t="str">
        <f>IF(S232&gt;=1,(W232*12+Y232)-(S232*12+U232)+1,"")</f>
        <v/>
      </c>
      <c r="AC232" s="1068" t="s">
        <v>480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0"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4">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4">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388</v>
      </c>
      <c r="S236" s="1148"/>
      <c r="T236" s="1065" t="s">
        <v>477</v>
      </c>
      <c r="U236" s="1148"/>
      <c r="V236" s="1065" t="s">
        <v>478</v>
      </c>
      <c r="W236" s="1148"/>
      <c r="X236" s="1065" t="s">
        <v>477</v>
      </c>
      <c r="Y236" s="1148"/>
      <c r="Z236" s="1065" t="s">
        <v>479</v>
      </c>
      <c r="AA236" s="1065" t="s">
        <v>291</v>
      </c>
      <c r="AB236" s="1065" t="str">
        <f>IF(S236&gt;=1,(W236*12+Y236)-(S236*12+U236)+1,"")</f>
        <v/>
      </c>
      <c r="AC236" s="1068" t="s">
        <v>480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0"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4">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4">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388</v>
      </c>
      <c r="S240" s="1148"/>
      <c r="T240" s="1065" t="s">
        <v>477</v>
      </c>
      <c r="U240" s="1148"/>
      <c r="V240" s="1065" t="s">
        <v>478</v>
      </c>
      <c r="W240" s="1148"/>
      <c r="X240" s="1065" t="s">
        <v>477</v>
      </c>
      <c r="Y240" s="1148"/>
      <c r="Z240" s="1065" t="s">
        <v>479</v>
      </c>
      <c r="AA240" s="1065" t="s">
        <v>291</v>
      </c>
      <c r="AB240" s="1065" t="str">
        <f>IF(S240&gt;=1,(W240*12+Y240)-(S240*12+U240)+1,"")</f>
        <v/>
      </c>
      <c r="AC240" s="1068" t="s">
        <v>480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0"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4">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4">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388</v>
      </c>
      <c r="S244" s="1148"/>
      <c r="T244" s="1065" t="s">
        <v>477</v>
      </c>
      <c r="U244" s="1148"/>
      <c r="V244" s="1065" t="s">
        <v>478</v>
      </c>
      <c r="W244" s="1148"/>
      <c r="X244" s="1065" t="s">
        <v>477</v>
      </c>
      <c r="Y244" s="1148"/>
      <c r="Z244" s="1065" t="s">
        <v>479</v>
      </c>
      <c r="AA244" s="1065" t="s">
        <v>291</v>
      </c>
      <c r="AB244" s="1065" t="str">
        <f>IF(S244&gt;=1,(W244*12+Y244)-(S244*12+U244)+1,"")</f>
        <v/>
      </c>
      <c r="AC244" s="1068" t="s">
        <v>480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0"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4">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4">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388</v>
      </c>
      <c r="S248" s="1148"/>
      <c r="T248" s="1065" t="s">
        <v>477</v>
      </c>
      <c r="U248" s="1148"/>
      <c r="V248" s="1065" t="s">
        <v>478</v>
      </c>
      <c r="W248" s="1148"/>
      <c r="X248" s="1065" t="s">
        <v>477</v>
      </c>
      <c r="Y248" s="1148"/>
      <c r="Z248" s="1065" t="s">
        <v>479</v>
      </c>
      <c r="AA248" s="1065" t="s">
        <v>291</v>
      </c>
      <c r="AB248" s="1065" t="str">
        <f>IF(S248&gt;=1,(W248*12+Y248)-(S248*12+U248)+1,"")</f>
        <v/>
      </c>
      <c r="AC248" s="1068" t="s">
        <v>480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0"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4">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4">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388</v>
      </c>
      <c r="S252" s="1148"/>
      <c r="T252" s="1065" t="s">
        <v>477</v>
      </c>
      <c r="U252" s="1148"/>
      <c r="V252" s="1065" t="s">
        <v>478</v>
      </c>
      <c r="W252" s="1148"/>
      <c r="X252" s="1065" t="s">
        <v>477</v>
      </c>
      <c r="Y252" s="1148"/>
      <c r="Z252" s="1065" t="s">
        <v>479</v>
      </c>
      <c r="AA252" s="1065" t="s">
        <v>291</v>
      </c>
      <c r="AB252" s="1065" t="str">
        <f>IF(S252&gt;=1,(W252*12+Y252)-(S252*12+U252)+1,"")</f>
        <v/>
      </c>
      <c r="AC252" s="1068" t="s">
        <v>480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0"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4">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4">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388</v>
      </c>
      <c r="S256" s="1148"/>
      <c r="T256" s="1065" t="s">
        <v>477</v>
      </c>
      <c r="U256" s="1148"/>
      <c r="V256" s="1065" t="s">
        <v>478</v>
      </c>
      <c r="W256" s="1148"/>
      <c r="X256" s="1065" t="s">
        <v>477</v>
      </c>
      <c r="Y256" s="1148"/>
      <c r="Z256" s="1065" t="s">
        <v>479</v>
      </c>
      <c r="AA256" s="1065" t="s">
        <v>291</v>
      </c>
      <c r="AB256" s="1065" t="str">
        <f>IF(S256&gt;=1,(W256*12+Y256)-(S256*12+U256)+1,"")</f>
        <v/>
      </c>
      <c r="AC256" s="1068" t="s">
        <v>480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0"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4">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4">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388</v>
      </c>
      <c r="S260" s="1148"/>
      <c r="T260" s="1065" t="s">
        <v>477</v>
      </c>
      <c r="U260" s="1148"/>
      <c r="V260" s="1065" t="s">
        <v>478</v>
      </c>
      <c r="W260" s="1148"/>
      <c r="X260" s="1065" t="s">
        <v>477</v>
      </c>
      <c r="Y260" s="1148"/>
      <c r="Z260" s="1065" t="s">
        <v>479</v>
      </c>
      <c r="AA260" s="1065" t="s">
        <v>291</v>
      </c>
      <c r="AB260" s="1065" t="str">
        <f>IF(S260&gt;=1,(W260*12+Y260)-(S260*12+U260)+1,"")</f>
        <v/>
      </c>
      <c r="AC260" s="1068" t="s">
        <v>480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0"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4">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4">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388</v>
      </c>
      <c r="S264" s="1148"/>
      <c r="T264" s="1065" t="s">
        <v>477</v>
      </c>
      <c r="U264" s="1148"/>
      <c r="V264" s="1065" t="s">
        <v>478</v>
      </c>
      <c r="W264" s="1148"/>
      <c r="X264" s="1065" t="s">
        <v>477</v>
      </c>
      <c r="Y264" s="1148"/>
      <c r="Z264" s="1065" t="s">
        <v>479</v>
      </c>
      <c r="AA264" s="1065" t="s">
        <v>291</v>
      </c>
      <c r="AB264" s="1065" t="str">
        <f>IF(S264&gt;=1,(W264*12+Y264)-(S264*12+U264)+1,"")</f>
        <v/>
      </c>
      <c r="AC264" s="1068" t="s">
        <v>480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0"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4">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4">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388</v>
      </c>
      <c r="S268" s="1148"/>
      <c r="T268" s="1065" t="s">
        <v>477</v>
      </c>
      <c r="U268" s="1148"/>
      <c r="V268" s="1065" t="s">
        <v>478</v>
      </c>
      <c r="W268" s="1148"/>
      <c r="X268" s="1065" t="s">
        <v>477</v>
      </c>
      <c r="Y268" s="1148"/>
      <c r="Z268" s="1065" t="s">
        <v>479</v>
      </c>
      <c r="AA268" s="1065" t="s">
        <v>291</v>
      </c>
      <c r="AB268" s="1065" t="str">
        <f>IF(S268&gt;=1,(W268*12+Y268)-(S268*12+U268)+1,"")</f>
        <v/>
      </c>
      <c r="AC268" s="1068" t="s">
        <v>480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0"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4">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4">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388</v>
      </c>
      <c r="S272" s="1148"/>
      <c r="T272" s="1065" t="s">
        <v>477</v>
      </c>
      <c r="U272" s="1148"/>
      <c r="V272" s="1065" t="s">
        <v>478</v>
      </c>
      <c r="W272" s="1148"/>
      <c r="X272" s="1065" t="s">
        <v>477</v>
      </c>
      <c r="Y272" s="1148"/>
      <c r="Z272" s="1065" t="s">
        <v>479</v>
      </c>
      <c r="AA272" s="1065" t="s">
        <v>291</v>
      </c>
      <c r="AB272" s="1065" t="str">
        <f>IF(S272&gt;=1,(W272*12+Y272)-(S272*12+U272)+1,"")</f>
        <v/>
      </c>
      <c r="AC272" s="1068" t="s">
        <v>480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0"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4">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4">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388</v>
      </c>
      <c r="S276" s="1148"/>
      <c r="T276" s="1065" t="s">
        <v>477</v>
      </c>
      <c r="U276" s="1148"/>
      <c r="V276" s="1065" t="s">
        <v>478</v>
      </c>
      <c r="W276" s="1148"/>
      <c r="X276" s="1065" t="s">
        <v>477</v>
      </c>
      <c r="Y276" s="1148"/>
      <c r="Z276" s="1065" t="s">
        <v>479</v>
      </c>
      <c r="AA276" s="1065" t="s">
        <v>291</v>
      </c>
      <c r="AB276" s="1065" t="str">
        <f>IF(S276&gt;=1,(W276*12+Y276)-(S276*12+U276)+1,"")</f>
        <v/>
      </c>
      <c r="AC276" s="1068" t="s">
        <v>480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0"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4">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4">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388</v>
      </c>
      <c r="S280" s="1148"/>
      <c r="T280" s="1065" t="s">
        <v>477</v>
      </c>
      <c r="U280" s="1148"/>
      <c r="V280" s="1065" t="s">
        <v>478</v>
      </c>
      <c r="W280" s="1148"/>
      <c r="X280" s="1065" t="s">
        <v>477</v>
      </c>
      <c r="Y280" s="1148"/>
      <c r="Z280" s="1065" t="s">
        <v>479</v>
      </c>
      <c r="AA280" s="1065" t="s">
        <v>291</v>
      </c>
      <c r="AB280" s="1065" t="str">
        <f>IF(S280&gt;=1,(W280*12+Y280)-(S280*12+U280)+1,"")</f>
        <v/>
      </c>
      <c r="AC280" s="1068" t="s">
        <v>480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0"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4">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4">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388</v>
      </c>
      <c r="S284" s="1148"/>
      <c r="T284" s="1065" t="s">
        <v>477</v>
      </c>
      <c r="U284" s="1148"/>
      <c r="V284" s="1065" t="s">
        <v>478</v>
      </c>
      <c r="W284" s="1148"/>
      <c r="X284" s="1065" t="s">
        <v>477</v>
      </c>
      <c r="Y284" s="1148"/>
      <c r="Z284" s="1065" t="s">
        <v>479</v>
      </c>
      <c r="AA284" s="1065" t="s">
        <v>291</v>
      </c>
      <c r="AB284" s="1065" t="str">
        <f>IF(S284&gt;=1,(W284*12+Y284)-(S284*12+U284)+1,"")</f>
        <v/>
      </c>
      <c r="AC284" s="1068" t="s">
        <v>480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0"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4">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4">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388</v>
      </c>
      <c r="S288" s="1148"/>
      <c r="T288" s="1065" t="s">
        <v>477</v>
      </c>
      <c r="U288" s="1148"/>
      <c r="V288" s="1065" t="s">
        <v>478</v>
      </c>
      <c r="W288" s="1148"/>
      <c r="X288" s="1065" t="s">
        <v>477</v>
      </c>
      <c r="Y288" s="1148"/>
      <c r="Z288" s="1065" t="s">
        <v>479</v>
      </c>
      <c r="AA288" s="1065" t="s">
        <v>291</v>
      </c>
      <c r="AB288" s="1065" t="str">
        <f>IF(S288&gt;=1,(W288*12+Y288)-(S288*12+U288)+1,"")</f>
        <v/>
      </c>
      <c r="AC288" s="1068" t="s">
        <v>480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0"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4">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4">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388</v>
      </c>
      <c r="S292" s="1148"/>
      <c r="T292" s="1065" t="s">
        <v>477</v>
      </c>
      <c r="U292" s="1148"/>
      <c r="V292" s="1065" t="s">
        <v>478</v>
      </c>
      <c r="W292" s="1148"/>
      <c r="X292" s="1065" t="s">
        <v>477</v>
      </c>
      <c r="Y292" s="1148"/>
      <c r="Z292" s="1065" t="s">
        <v>479</v>
      </c>
      <c r="AA292" s="1065" t="s">
        <v>291</v>
      </c>
      <c r="AB292" s="1065" t="str">
        <f>IF(S292&gt;=1,(W292*12+Y292)-(S292*12+U292)+1,"")</f>
        <v/>
      </c>
      <c r="AC292" s="1068" t="s">
        <v>480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0"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4">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4">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388</v>
      </c>
      <c r="S296" s="1148"/>
      <c r="T296" s="1065" t="s">
        <v>477</v>
      </c>
      <c r="U296" s="1148"/>
      <c r="V296" s="1065" t="s">
        <v>478</v>
      </c>
      <c r="W296" s="1148"/>
      <c r="X296" s="1065" t="s">
        <v>477</v>
      </c>
      <c r="Y296" s="1148"/>
      <c r="Z296" s="1065" t="s">
        <v>479</v>
      </c>
      <c r="AA296" s="1065" t="s">
        <v>291</v>
      </c>
      <c r="AB296" s="1065" t="str">
        <f>IF(S296&gt;=1,(W296*12+Y296)-(S296*12+U296)+1,"")</f>
        <v/>
      </c>
      <c r="AC296" s="1068" t="s">
        <v>480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0"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4">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4">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388</v>
      </c>
      <c r="S300" s="1148"/>
      <c r="T300" s="1065" t="s">
        <v>477</v>
      </c>
      <c r="U300" s="1148"/>
      <c r="V300" s="1065" t="s">
        <v>478</v>
      </c>
      <c r="W300" s="1148"/>
      <c r="X300" s="1065" t="s">
        <v>477</v>
      </c>
      <c r="Y300" s="1148"/>
      <c r="Z300" s="1065" t="s">
        <v>479</v>
      </c>
      <c r="AA300" s="1065" t="s">
        <v>291</v>
      </c>
      <c r="AB300" s="1065" t="str">
        <f>IF(S300&gt;=1,(W300*12+Y300)-(S300*12+U300)+1,"")</f>
        <v/>
      </c>
      <c r="AC300" s="1068" t="s">
        <v>480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0"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4">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4">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388</v>
      </c>
      <c r="S304" s="1148"/>
      <c r="T304" s="1065" t="s">
        <v>477</v>
      </c>
      <c r="U304" s="1148"/>
      <c r="V304" s="1065" t="s">
        <v>478</v>
      </c>
      <c r="W304" s="1148"/>
      <c r="X304" s="1065" t="s">
        <v>477</v>
      </c>
      <c r="Y304" s="1148"/>
      <c r="Z304" s="1065" t="s">
        <v>479</v>
      </c>
      <c r="AA304" s="1065" t="s">
        <v>291</v>
      </c>
      <c r="AB304" s="1065" t="str">
        <f>IF(S304&gt;=1,(W304*12+Y304)-(S304*12+U304)+1,"")</f>
        <v/>
      </c>
      <c r="AC304" s="1068" t="s">
        <v>480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0"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4">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4">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388</v>
      </c>
      <c r="S308" s="1148"/>
      <c r="T308" s="1065" t="s">
        <v>477</v>
      </c>
      <c r="U308" s="1148"/>
      <c r="V308" s="1065" t="s">
        <v>478</v>
      </c>
      <c r="W308" s="1148"/>
      <c r="X308" s="1065" t="s">
        <v>477</v>
      </c>
      <c r="Y308" s="1148"/>
      <c r="Z308" s="1065" t="s">
        <v>479</v>
      </c>
      <c r="AA308" s="1065" t="s">
        <v>291</v>
      </c>
      <c r="AB308" s="1065" t="str">
        <f>IF(S308&gt;=1,(W308*12+Y308)-(S308*12+U308)+1,"")</f>
        <v/>
      </c>
      <c r="AC308" s="1068" t="s">
        <v>480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0"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4">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4">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388</v>
      </c>
      <c r="S312" s="1148"/>
      <c r="T312" s="1065" t="s">
        <v>477</v>
      </c>
      <c r="U312" s="1148"/>
      <c r="V312" s="1065" t="s">
        <v>478</v>
      </c>
      <c r="W312" s="1148"/>
      <c r="X312" s="1065" t="s">
        <v>477</v>
      </c>
      <c r="Y312" s="1148"/>
      <c r="Z312" s="1065" t="s">
        <v>479</v>
      </c>
      <c r="AA312" s="1065" t="s">
        <v>291</v>
      </c>
      <c r="AB312" s="1065" t="str">
        <f>IF(S312&gt;=1,(W312*12+Y312)-(S312*12+U312)+1,"")</f>
        <v/>
      </c>
      <c r="AC312" s="1068" t="s">
        <v>480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0"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4">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4">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388</v>
      </c>
      <c r="S316" s="1148"/>
      <c r="T316" s="1065" t="s">
        <v>477</v>
      </c>
      <c r="U316" s="1148"/>
      <c r="V316" s="1065" t="s">
        <v>478</v>
      </c>
      <c r="W316" s="1148"/>
      <c r="X316" s="1065" t="s">
        <v>477</v>
      </c>
      <c r="Y316" s="1148"/>
      <c r="Z316" s="1065" t="s">
        <v>479</v>
      </c>
      <c r="AA316" s="1065" t="s">
        <v>291</v>
      </c>
      <c r="AB316" s="1065" t="str">
        <f>IF(S316&gt;=1,(W316*12+Y316)-(S316*12+U316)+1,"")</f>
        <v/>
      </c>
      <c r="AC316" s="1068" t="s">
        <v>480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0"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4">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4">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388</v>
      </c>
      <c r="S320" s="1148"/>
      <c r="T320" s="1065" t="s">
        <v>477</v>
      </c>
      <c r="U320" s="1148"/>
      <c r="V320" s="1065" t="s">
        <v>478</v>
      </c>
      <c r="W320" s="1148"/>
      <c r="X320" s="1065" t="s">
        <v>477</v>
      </c>
      <c r="Y320" s="1148"/>
      <c r="Z320" s="1065" t="s">
        <v>479</v>
      </c>
      <c r="AA320" s="1065" t="s">
        <v>291</v>
      </c>
      <c r="AB320" s="1065" t="str">
        <f>IF(S320&gt;=1,(W320*12+Y320)-(S320*12+U320)+1,"")</f>
        <v/>
      </c>
      <c r="AC320" s="1068" t="s">
        <v>480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0"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4">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4">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388</v>
      </c>
      <c r="S324" s="1148"/>
      <c r="T324" s="1065" t="s">
        <v>477</v>
      </c>
      <c r="U324" s="1148"/>
      <c r="V324" s="1065" t="s">
        <v>478</v>
      </c>
      <c r="W324" s="1148"/>
      <c r="X324" s="1065" t="s">
        <v>477</v>
      </c>
      <c r="Y324" s="1148"/>
      <c r="Z324" s="1065" t="s">
        <v>479</v>
      </c>
      <c r="AA324" s="1065" t="s">
        <v>291</v>
      </c>
      <c r="AB324" s="1065" t="str">
        <f>IF(S324&gt;=1,(W324*12+Y324)-(S324*12+U324)+1,"")</f>
        <v/>
      </c>
      <c r="AC324" s="1068" t="s">
        <v>480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0"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4">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4">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388</v>
      </c>
      <c r="S328" s="1148"/>
      <c r="T328" s="1065" t="s">
        <v>477</v>
      </c>
      <c r="U328" s="1148"/>
      <c r="V328" s="1065" t="s">
        <v>478</v>
      </c>
      <c r="W328" s="1148"/>
      <c r="X328" s="1065" t="s">
        <v>477</v>
      </c>
      <c r="Y328" s="1148"/>
      <c r="Z328" s="1065" t="s">
        <v>479</v>
      </c>
      <c r="AA328" s="1065" t="s">
        <v>291</v>
      </c>
      <c r="AB328" s="1065" t="str">
        <f>IF(S328&gt;=1,(W328*12+Y328)-(S328*12+U328)+1,"")</f>
        <v/>
      </c>
      <c r="AC328" s="1068" t="s">
        <v>480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0"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4">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4">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388</v>
      </c>
      <c r="S332" s="1148"/>
      <c r="T332" s="1065" t="s">
        <v>477</v>
      </c>
      <c r="U332" s="1148"/>
      <c r="V332" s="1065" t="s">
        <v>478</v>
      </c>
      <c r="W332" s="1148"/>
      <c r="X332" s="1065" t="s">
        <v>477</v>
      </c>
      <c r="Y332" s="1148"/>
      <c r="Z332" s="1065" t="s">
        <v>479</v>
      </c>
      <c r="AA332" s="1065" t="s">
        <v>291</v>
      </c>
      <c r="AB332" s="1065" t="str">
        <f>IF(S332&gt;=1,(W332*12+Y332)-(S332*12+U332)+1,"")</f>
        <v/>
      </c>
      <c r="AC332" s="1068" t="s">
        <v>480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0"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4">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4">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388</v>
      </c>
      <c r="S336" s="1148"/>
      <c r="T336" s="1065" t="s">
        <v>477</v>
      </c>
      <c r="U336" s="1148"/>
      <c r="V336" s="1065" t="s">
        <v>478</v>
      </c>
      <c r="W336" s="1148"/>
      <c r="X336" s="1065" t="s">
        <v>477</v>
      </c>
      <c r="Y336" s="1148"/>
      <c r="Z336" s="1065" t="s">
        <v>479</v>
      </c>
      <c r="AA336" s="1065" t="s">
        <v>291</v>
      </c>
      <c r="AB336" s="1065" t="str">
        <f>IF(S336&gt;=1,(W336*12+Y336)-(S336*12+U336)+1,"")</f>
        <v/>
      </c>
      <c r="AC336" s="1068" t="s">
        <v>480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0"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4">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4">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388</v>
      </c>
      <c r="S340" s="1148"/>
      <c r="T340" s="1065" t="s">
        <v>477</v>
      </c>
      <c r="U340" s="1148"/>
      <c r="V340" s="1065" t="s">
        <v>478</v>
      </c>
      <c r="W340" s="1148"/>
      <c r="X340" s="1065" t="s">
        <v>477</v>
      </c>
      <c r="Y340" s="1148"/>
      <c r="Z340" s="1065" t="s">
        <v>479</v>
      </c>
      <c r="AA340" s="1065" t="s">
        <v>291</v>
      </c>
      <c r="AB340" s="1065" t="str">
        <f>IF(S340&gt;=1,(W340*12+Y340)-(S340*12+U340)+1,"")</f>
        <v/>
      </c>
      <c r="AC340" s="1068" t="s">
        <v>480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0"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4">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4">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388</v>
      </c>
      <c r="S344" s="1148"/>
      <c r="T344" s="1065" t="s">
        <v>477</v>
      </c>
      <c r="U344" s="1148"/>
      <c r="V344" s="1065" t="s">
        <v>478</v>
      </c>
      <c r="W344" s="1148"/>
      <c r="X344" s="1065" t="s">
        <v>477</v>
      </c>
      <c r="Y344" s="1148"/>
      <c r="Z344" s="1065" t="s">
        <v>479</v>
      </c>
      <c r="AA344" s="1065" t="s">
        <v>291</v>
      </c>
      <c r="AB344" s="1065" t="str">
        <f>IF(S344&gt;=1,(W344*12+Y344)-(S344*12+U344)+1,"")</f>
        <v/>
      </c>
      <c r="AC344" s="1068" t="s">
        <v>480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0"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4">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4">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388</v>
      </c>
      <c r="S348" s="1148"/>
      <c r="T348" s="1065" t="s">
        <v>477</v>
      </c>
      <c r="U348" s="1148"/>
      <c r="V348" s="1065" t="s">
        <v>478</v>
      </c>
      <c r="W348" s="1148"/>
      <c r="X348" s="1065" t="s">
        <v>477</v>
      </c>
      <c r="Y348" s="1148"/>
      <c r="Z348" s="1065" t="s">
        <v>479</v>
      </c>
      <c r="AA348" s="1065" t="s">
        <v>291</v>
      </c>
      <c r="AB348" s="1065" t="str">
        <f>IF(S348&gt;=1,(W348*12+Y348)-(S348*12+U348)+1,"")</f>
        <v/>
      </c>
      <c r="AC348" s="1068" t="s">
        <v>480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0"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4">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4">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388</v>
      </c>
      <c r="S352" s="1148"/>
      <c r="T352" s="1065" t="s">
        <v>477</v>
      </c>
      <c r="U352" s="1148"/>
      <c r="V352" s="1065" t="s">
        <v>478</v>
      </c>
      <c r="W352" s="1148"/>
      <c r="X352" s="1065" t="s">
        <v>477</v>
      </c>
      <c r="Y352" s="1148"/>
      <c r="Z352" s="1065" t="s">
        <v>479</v>
      </c>
      <c r="AA352" s="1065" t="s">
        <v>291</v>
      </c>
      <c r="AB352" s="1065" t="str">
        <f>IF(S352&gt;=1,(W352*12+Y352)-(S352*12+U352)+1,"")</f>
        <v/>
      </c>
      <c r="AC352" s="1068" t="s">
        <v>480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0"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4">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4">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388</v>
      </c>
      <c r="S356" s="1148"/>
      <c r="T356" s="1065" t="s">
        <v>477</v>
      </c>
      <c r="U356" s="1148"/>
      <c r="V356" s="1065" t="s">
        <v>478</v>
      </c>
      <c r="W356" s="1148"/>
      <c r="X356" s="1065" t="s">
        <v>477</v>
      </c>
      <c r="Y356" s="1148"/>
      <c r="Z356" s="1065" t="s">
        <v>479</v>
      </c>
      <c r="AA356" s="1065" t="s">
        <v>291</v>
      </c>
      <c r="AB356" s="1065" t="str">
        <f>IF(S356&gt;=1,(W356*12+Y356)-(S356*12+U356)+1,"")</f>
        <v/>
      </c>
      <c r="AC356" s="1068" t="s">
        <v>480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0"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4">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4">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388</v>
      </c>
      <c r="S360" s="1148"/>
      <c r="T360" s="1065" t="s">
        <v>477</v>
      </c>
      <c r="U360" s="1148"/>
      <c r="V360" s="1065" t="s">
        <v>478</v>
      </c>
      <c r="W360" s="1148"/>
      <c r="X360" s="1065" t="s">
        <v>477</v>
      </c>
      <c r="Y360" s="1148"/>
      <c r="Z360" s="1065" t="s">
        <v>479</v>
      </c>
      <c r="AA360" s="1065" t="s">
        <v>291</v>
      </c>
      <c r="AB360" s="1065" t="str">
        <f>IF(S360&gt;=1,(W360*12+Y360)-(S360*12+U360)+1,"")</f>
        <v/>
      </c>
      <c r="AC360" s="1068" t="s">
        <v>480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0"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4">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4">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388</v>
      </c>
      <c r="S364" s="1148"/>
      <c r="T364" s="1065" t="s">
        <v>477</v>
      </c>
      <c r="U364" s="1148"/>
      <c r="V364" s="1065" t="s">
        <v>478</v>
      </c>
      <c r="W364" s="1148"/>
      <c r="X364" s="1065" t="s">
        <v>477</v>
      </c>
      <c r="Y364" s="1148"/>
      <c r="Z364" s="1065" t="s">
        <v>479</v>
      </c>
      <c r="AA364" s="1065" t="s">
        <v>291</v>
      </c>
      <c r="AB364" s="1065" t="str">
        <f>IF(S364&gt;=1,(W364*12+Y364)-(S364*12+U364)+1,"")</f>
        <v/>
      </c>
      <c r="AC364" s="1068" t="s">
        <v>480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0"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4">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4">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388</v>
      </c>
      <c r="S368" s="1148"/>
      <c r="T368" s="1065" t="s">
        <v>477</v>
      </c>
      <c r="U368" s="1148"/>
      <c r="V368" s="1065" t="s">
        <v>478</v>
      </c>
      <c r="W368" s="1148"/>
      <c r="X368" s="1065" t="s">
        <v>477</v>
      </c>
      <c r="Y368" s="1148"/>
      <c r="Z368" s="1065" t="s">
        <v>479</v>
      </c>
      <c r="AA368" s="1065" t="s">
        <v>291</v>
      </c>
      <c r="AB368" s="1065" t="str">
        <f>IF(S368&gt;=1,(W368*12+Y368)-(S368*12+U368)+1,"")</f>
        <v/>
      </c>
      <c r="AC368" s="1068" t="s">
        <v>480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0"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4">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4">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388</v>
      </c>
      <c r="S372" s="1148"/>
      <c r="T372" s="1065" t="s">
        <v>477</v>
      </c>
      <c r="U372" s="1148"/>
      <c r="V372" s="1065" t="s">
        <v>478</v>
      </c>
      <c r="W372" s="1148"/>
      <c r="X372" s="1065" t="s">
        <v>477</v>
      </c>
      <c r="Y372" s="1148"/>
      <c r="Z372" s="1065" t="s">
        <v>479</v>
      </c>
      <c r="AA372" s="1065" t="s">
        <v>291</v>
      </c>
      <c r="AB372" s="1065" t="str">
        <f>IF(S372&gt;=1,(W372*12+Y372)-(S372*12+U372)+1,"")</f>
        <v/>
      </c>
      <c r="AC372" s="1068" t="s">
        <v>480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0"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4">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4">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388</v>
      </c>
      <c r="S376" s="1148"/>
      <c r="T376" s="1065" t="s">
        <v>477</v>
      </c>
      <c r="U376" s="1148"/>
      <c r="V376" s="1065" t="s">
        <v>478</v>
      </c>
      <c r="W376" s="1148"/>
      <c r="X376" s="1065" t="s">
        <v>477</v>
      </c>
      <c r="Y376" s="1148"/>
      <c r="Z376" s="1065" t="s">
        <v>479</v>
      </c>
      <c r="AA376" s="1065" t="s">
        <v>291</v>
      </c>
      <c r="AB376" s="1065" t="str">
        <f>IF(S376&gt;=1,(W376*12+Y376)-(S376*12+U376)+1,"")</f>
        <v/>
      </c>
      <c r="AC376" s="1068" t="s">
        <v>480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0"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4">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4">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388</v>
      </c>
      <c r="S380" s="1148"/>
      <c r="T380" s="1065" t="s">
        <v>477</v>
      </c>
      <c r="U380" s="1148"/>
      <c r="V380" s="1065" t="s">
        <v>478</v>
      </c>
      <c r="W380" s="1148"/>
      <c r="X380" s="1065" t="s">
        <v>477</v>
      </c>
      <c r="Y380" s="1148"/>
      <c r="Z380" s="1065" t="s">
        <v>479</v>
      </c>
      <c r="AA380" s="1065" t="s">
        <v>291</v>
      </c>
      <c r="AB380" s="1065" t="str">
        <f>IF(S380&gt;=1,(W380*12+Y380)-(S380*12+U380)+1,"")</f>
        <v/>
      </c>
      <c r="AC380" s="1068" t="s">
        <v>480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0"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4">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4">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388</v>
      </c>
      <c r="S384" s="1148"/>
      <c r="T384" s="1065" t="s">
        <v>477</v>
      </c>
      <c r="U384" s="1148"/>
      <c r="V384" s="1065" t="s">
        <v>478</v>
      </c>
      <c r="W384" s="1148"/>
      <c r="X384" s="1065" t="s">
        <v>477</v>
      </c>
      <c r="Y384" s="1148"/>
      <c r="Z384" s="1065" t="s">
        <v>479</v>
      </c>
      <c r="AA384" s="1065" t="s">
        <v>291</v>
      </c>
      <c r="AB384" s="1065" t="str">
        <f>IF(S384&gt;=1,(W384*12+Y384)-(S384*12+U384)+1,"")</f>
        <v/>
      </c>
      <c r="AC384" s="1068" t="s">
        <v>480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0"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4">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4">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388</v>
      </c>
      <c r="S388" s="1148"/>
      <c r="T388" s="1065" t="s">
        <v>477</v>
      </c>
      <c r="U388" s="1148"/>
      <c r="V388" s="1065" t="s">
        <v>478</v>
      </c>
      <c r="W388" s="1148"/>
      <c r="X388" s="1065" t="s">
        <v>477</v>
      </c>
      <c r="Y388" s="1148"/>
      <c r="Z388" s="1065" t="s">
        <v>479</v>
      </c>
      <c r="AA388" s="1065" t="s">
        <v>291</v>
      </c>
      <c r="AB388" s="1065" t="str">
        <f>IF(S388&gt;=1,(W388*12+Y388)-(S388*12+U388)+1,"")</f>
        <v/>
      </c>
      <c r="AC388" s="1068" t="s">
        <v>480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0"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4">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4">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388</v>
      </c>
      <c r="S392" s="1148"/>
      <c r="T392" s="1065" t="s">
        <v>477</v>
      </c>
      <c r="U392" s="1148"/>
      <c r="V392" s="1065" t="s">
        <v>478</v>
      </c>
      <c r="W392" s="1148"/>
      <c r="X392" s="1065" t="s">
        <v>477</v>
      </c>
      <c r="Y392" s="1148"/>
      <c r="Z392" s="1065" t="s">
        <v>479</v>
      </c>
      <c r="AA392" s="1065" t="s">
        <v>291</v>
      </c>
      <c r="AB392" s="1065" t="str">
        <f>IF(S392&gt;=1,(W392*12+Y392)-(S392*12+U392)+1,"")</f>
        <v/>
      </c>
      <c r="AC392" s="1068" t="s">
        <v>480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0"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4">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4">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388</v>
      </c>
      <c r="S396" s="1148"/>
      <c r="T396" s="1065" t="s">
        <v>477</v>
      </c>
      <c r="U396" s="1148"/>
      <c r="V396" s="1065" t="s">
        <v>478</v>
      </c>
      <c r="W396" s="1148"/>
      <c r="X396" s="1065" t="s">
        <v>477</v>
      </c>
      <c r="Y396" s="1148"/>
      <c r="Z396" s="1065" t="s">
        <v>479</v>
      </c>
      <c r="AA396" s="1065" t="s">
        <v>291</v>
      </c>
      <c r="AB396" s="1065" t="str">
        <f>IF(S396&gt;=1,(W396*12+Y396)-(S396*12+U396)+1,"")</f>
        <v/>
      </c>
      <c r="AC396" s="1068" t="s">
        <v>480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0"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4">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4">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388</v>
      </c>
      <c r="S400" s="1148"/>
      <c r="T400" s="1065" t="s">
        <v>477</v>
      </c>
      <c r="U400" s="1148"/>
      <c r="V400" s="1065" t="s">
        <v>478</v>
      </c>
      <c r="W400" s="1148"/>
      <c r="X400" s="1065" t="s">
        <v>477</v>
      </c>
      <c r="Y400" s="1148"/>
      <c r="Z400" s="1065" t="s">
        <v>479</v>
      </c>
      <c r="AA400" s="1065" t="s">
        <v>291</v>
      </c>
      <c r="AB400" s="1065" t="str">
        <f>IF(S400&gt;=1,(W400*12+Y400)-(S400*12+U400)+1,"")</f>
        <v/>
      </c>
      <c r="AC400" s="1068" t="s">
        <v>480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0"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4">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4">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388</v>
      </c>
      <c r="S404" s="1148"/>
      <c r="T404" s="1065" t="s">
        <v>477</v>
      </c>
      <c r="U404" s="1148"/>
      <c r="V404" s="1065" t="s">
        <v>478</v>
      </c>
      <c r="W404" s="1148"/>
      <c r="X404" s="1065" t="s">
        <v>477</v>
      </c>
      <c r="Y404" s="1148"/>
      <c r="Z404" s="1065" t="s">
        <v>479</v>
      </c>
      <c r="AA404" s="1065" t="s">
        <v>291</v>
      </c>
      <c r="AB404" s="1065" t="str">
        <f>IF(S404&gt;=1,(W404*12+Y404)-(S404*12+U404)+1,"")</f>
        <v/>
      </c>
      <c r="AC404" s="1068" t="s">
        <v>480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0"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4">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4">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388</v>
      </c>
      <c r="S408" s="1148"/>
      <c r="T408" s="1065" t="s">
        <v>477</v>
      </c>
      <c r="U408" s="1148"/>
      <c r="V408" s="1065" t="s">
        <v>478</v>
      </c>
      <c r="W408" s="1148"/>
      <c r="X408" s="1065" t="s">
        <v>477</v>
      </c>
      <c r="Y408" s="1148"/>
      <c r="Z408" s="1065" t="s">
        <v>479</v>
      </c>
      <c r="AA408" s="1065" t="s">
        <v>291</v>
      </c>
      <c r="AB408" s="1065" t="str">
        <f>IF(S408&gt;=1,(W408*12+Y408)-(S408*12+U408)+1,"")</f>
        <v/>
      </c>
      <c r="AC408" s="1068" t="s">
        <v>480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0"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4">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4">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2"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2"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2"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2"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2"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2"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2"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2"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254</v>
      </c>
      <c r="AC1" s="935"/>
      <c r="AD1" s="935"/>
      <c r="AE1" s="934" t="str">
        <f>IF(基本情報入力シート!AA16&lt;&gt;"", 基本情報入力シート!AA16, "")</f>
        <v>東京都</v>
      </c>
      <c r="AF1" s="935"/>
      <c r="AG1" s="935"/>
      <c r="AH1" s="935"/>
      <c r="AI1" s="960"/>
      <c r="AJ1" s="61"/>
      <c r="AK1" s="152"/>
      <c r="AL1" s="153"/>
      <c r="AM1" s="153"/>
      <c r="AN1" s="153"/>
      <c r="AO1" s="688"/>
      <c r="AP1" s="153"/>
      <c r="AQ1" s="153"/>
      <c r="AR1" s="153"/>
      <c r="AS1" s="153"/>
      <c r="AT1" s="153"/>
      <c r="AU1" s="153"/>
      <c r="AV1" s="153"/>
      <c r="AW1" s="154"/>
      <c r="AX1" s="144"/>
      <c r="AY1" s="838" t="s">
        <v>255</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6"/>
      <c r="AO2" s="145"/>
      <c r="AP2" s="687"/>
      <c r="AQ2" s="156"/>
      <c r="AR2" s="156"/>
      <c r="AS2" s="156"/>
      <c r="AT2" s="156"/>
      <c r="AU2" s="156"/>
      <c r="AV2" s="156"/>
      <c r="AW2" s="157"/>
      <c r="AY2" s="838" t="str">
        <f>IF(基本情報入力シート!V14="", "", 基本情報入力シート!V14)</f>
        <v>加算様式を指定権者に提出</v>
      </c>
      <c r="AZ2" s="838"/>
      <c r="BA2" s="838"/>
      <c r="BB2" s="838"/>
      <c r="BC2" s="838"/>
    </row>
    <row r="3" spans="1:55" ht="14.4"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8"/>
      <c r="AZ3" s="838"/>
      <c r="BA3" s="838"/>
      <c r="BB3" s="838"/>
      <c r="BC3" s="838"/>
    </row>
    <row r="4" spans="1:55" s="29" customFormat="1" ht="13.5" customHeight="1">
      <c r="A4" s="1296" t="s">
        <v>16</v>
      </c>
      <c r="B4" s="1297"/>
      <c r="C4" s="1297"/>
      <c r="D4" s="1297"/>
      <c r="E4" s="1297"/>
      <c r="F4" s="1298"/>
      <c r="G4" s="1285" t="str">
        <f>IF(基本情報入力シート!L21="","",基本情報入力シート!L21)</f>
        <v>○○ケアサービス</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258</v>
      </c>
      <c r="B5" s="1300"/>
      <c r="C5" s="1300"/>
      <c r="D5" s="1300"/>
      <c r="E5" s="1300"/>
      <c r="F5" s="1301"/>
      <c r="G5" s="1287" t="str">
        <f>IF(基本情報入力シート!L22="","",基本情報入力シート!L22)</f>
        <v>○○ケアサービス</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259</v>
      </c>
      <c r="B6" s="885"/>
      <c r="C6" s="885"/>
      <c r="D6" s="885"/>
      <c r="E6" s="885"/>
      <c r="F6" s="1280"/>
      <c r="G6" s="110" t="s">
        <v>20</v>
      </c>
      <c r="H6" s="1281" t="str">
        <f>IF(基本情報入力シート!AM24="－","",基本情報入力シート!AM24)</f>
        <v>100-0005</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6"/>
      <c r="B7" s="1277"/>
      <c r="C7" s="1277"/>
      <c r="D7" s="1277"/>
      <c r="E7" s="1277"/>
      <c r="F7" s="1278"/>
      <c r="G7" s="1289" t="str">
        <f>IF(基本情報入力シート!L24="","",基本情報入力シート!L24)</f>
        <v>東京都千代田区１－１－１</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 customHeight="1">
      <c r="A8" s="1276"/>
      <c r="B8" s="1277"/>
      <c r="C8" s="1277"/>
      <c r="D8" s="1277"/>
      <c r="E8" s="1277"/>
      <c r="F8" s="1278"/>
      <c r="G8" s="1291" t="str">
        <f>IF(基本情報入力シート!L25="","",基本情報入力シート!L25)</f>
        <v>○○ビル○○号室</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16</v>
      </c>
      <c r="B9" s="1283"/>
      <c r="C9" s="1283"/>
      <c r="D9" s="1283"/>
      <c r="E9" s="1283"/>
      <c r="F9" s="1284"/>
      <c r="G9" s="1272" t="str">
        <f>IF(基本情報入力シート!L29="","",基本情報入力シート!L29)</f>
        <v>コウロウ タロウ</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260</v>
      </c>
      <c r="B10" s="1277"/>
      <c r="C10" s="1277"/>
      <c r="D10" s="1277"/>
      <c r="E10" s="1277"/>
      <c r="F10" s="1278"/>
      <c r="G10" s="1274" t="str">
        <f>IF(基本情報入力シート!L30="","",基本情報入力シート!L30)</f>
        <v>厚労 太郎</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261</v>
      </c>
      <c r="B11" s="1279"/>
      <c r="C11" s="1279"/>
      <c r="D11" s="1279"/>
      <c r="E11" s="1279"/>
      <c r="F11" s="1279"/>
      <c r="G11" s="1021" t="s">
        <v>39</v>
      </c>
      <c r="H11" s="1022"/>
      <c r="I11" s="1022"/>
      <c r="J11" s="1022"/>
      <c r="K11" s="1302" t="str">
        <f>IF(基本情報入力シート!L31="","",基本情報入力シート!L31)</f>
        <v>000-0000-0000</v>
      </c>
      <c r="L11" s="1303"/>
      <c r="M11" s="1303"/>
      <c r="N11" s="1303"/>
      <c r="O11" s="1303"/>
      <c r="P11" s="1303"/>
      <c r="Q11" s="1303"/>
      <c r="R11" s="1303"/>
      <c r="S11" s="1303"/>
      <c r="T11" s="1304"/>
      <c r="U11" s="1293" t="s">
        <v>41</v>
      </c>
      <c r="V11" s="1294"/>
      <c r="W11" s="1294"/>
      <c r="X11" s="1295"/>
      <c r="Y11" s="1302" t="str">
        <f>IF(基本情報入力シート!L32="","",基本情報入力シート!L32)</f>
        <v>aaa@aaa,com</v>
      </c>
      <c r="Z11" s="1303"/>
      <c r="AA11" s="1303"/>
      <c r="AB11" s="1303"/>
      <c r="AC11" s="1303"/>
      <c r="AD11" s="1303"/>
      <c r="AE11" s="1303"/>
      <c r="AF11" s="1303"/>
      <c r="AG11" s="1303"/>
      <c r="AH11" s="1303"/>
      <c r="AI11" s="1303"/>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v>
      </c>
      <c r="AI13" s="1253"/>
      <c r="AK13" s="1266" t="s">
        <v>507</v>
      </c>
      <c r="AL13" s="1267"/>
      <c r="AM13" s="1267"/>
      <c r="AN13" s="1267"/>
      <c r="AO13" s="1267"/>
      <c r="AP13" s="1267"/>
      <c r="AQ13" s="1267"/>
      <c r="AR13" s="1267"/>
      <c r="AS13" s="1267"/>
      <c r="AT13" s="1267"/>
      <c r="AU13" s="1267"/>
      <c r="AV13" s="1268"/>
    </row>
    <row r="14" spans="1:55" ht="27.6" customHeight="1" thickBot="1">
      <c r="A14" s="1306" t="s">
        <v>508</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95" customHeight="1">
      <c r="A15" s="148" t="s">
        <v>509</v>
      </c>
      <c r="B15" s="1309" t="s">
        <v>510</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95" customHeight="1">
      <c r="A16" s="146" t="s">
        <v>509</v>
      </c>
      <c r="B16" s="1250" t="s">
        <v>511</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95" customHeight="1" thickBot="1">
      <c r="A17" s="147"/>
      <c r="B17" s="1250" t="s">
        <v>512</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513</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95" customHeight="1">
      <c r="A19" s="148" t="s">
        <v>509</v>
      </c>
      <c r="B19" s="1250" t="s">
        <v>514</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95" customHeight="1" thickBot="1">
      <c r="A20" s="147" t="s">
        <v>509</v>
      </c>
      <c r="B20" s="786" t="s">
        <v>515</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 customHeight="1" thickBot="1">
      <c r="A21" s="1264" t="s">
        <v>516</v>
      </c>
      <c r="B21" s="1265"/>
      <c r="C21" s="1265"/>
      <c r="D21" s="1265"/>
      <c r="E21" s="1265"/>
      <c r="F21" s="1265"/>
      <c r="G21" s="1265"/>
      <c r="H21" s="1265"/>
      <c r="I21" s="1265"/>
      <c r="J21" s="1265"/>
      <c r="K21" s="1265"/>
      <c r="L21" s="1265"/>
      <c r="M21" s="1269" t="s">
        <v>517</v>
      </c>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518</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368</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v>
      </c>
      <c r="AI25" s="1249"/>
      <c r="AJ25" s="41"/>
      <c r="AK25" s="1245" t="s">
        <v>520</v>
      </c>
      <c r="AL25" s="1246"/>
      <c r="AM25" s="1246"/>
      <c r="AN25" s="1246"/>
      <c r="AO25" s="1246"/>
      <c r="AP25" s="1246"/>
      <c r="AQ25" s="1246"/>
      <c r="AR25" s="1246"/>
      <c r="AS25" s="1246"/>
      <c r="AT25" s="1246"/>
      <c r="AU25" s="1246"/>
      <c r="AV25" s="1247"/>
    </row>
    <row r="26" spans="1:48" ht="14.25" customHeight="1" thickBot="1">
      <c r="A26" s="1261" t="s">
        <v>521</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522</v>
      </c>
      <c r="AB26" s="1322"/>
      <c r="AC26" s="1322"/>
      <c r="AD26" s="1322"/>
      <c r="AE26" s="1322"/>
      <c r="AF26" s="1322"/>
      <c r="AG26" s="1322"/>
      <c r="AH26" s="1323"/>
      <c r="AI26" s="1324"/>
      <c r="AJ26" s="61"/>
      <c r="AL26" s="32"/>
    </row>
    <row r="27" spans="1:48" ht="19.95" customHeight="1">
      <c r="A27" s="148" t="s">
        <v>509</v>
      </c>
      <c r="B27" s="1048" t="s">
        <v>523</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378</v>
      </c>
      <c r="AB27" s="936"/>
      <c r="AC27" s="936"/>
      <c r="AD27" s="936"/>
      <c r="AE27" s="936"/>
      <c r="AF27" s="936"/>
      <c r="AG27" s="936"/>
      <c r="AH27" s="936"/>
      <c r="AI27" s="936"/>
      <c r="AJ27" s="68"/>
    </row>
    <row r="28" spans="1:48" ht="30" customHeight="1">
      <c r="A28" s="146" t="s">
        <v>509</v>
      </c>
      <c r="B28" s="1048" t="s">
        <v>524</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525</v>
      </c>
      <c r="AB28" s="1260"/>
      <c r="AC28" s="1260"/>
      <c r="AD28" s="1260"/>
      <c r="AE28" s="1260"/>
      <c r="AF28" s="1260"/>
      <c r="AG28" s="1260"/>
      <c r="AH28" s="1260"/>
      <c r="AI28" s="1260"/>
      <c r="AJ28" s="68"/>
    </row>
    <row r="29" spans="1:48" ht="30" customHeight="1">
      <c r="A29" s="146" t="s">
        <v>509</v>
      </c>
      <c r="B29" s="1307" t="s">
        <v>526</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527</v>
      </c>
      <c r="AB29" s="1260"/>
      <c r="AC29" s="1260"/>
      <c r="AD29" s="1260"/>
      <c r="AE29" s="1260"/>
      <c r="AF29" s="1260"/>
      <c r="AG29" s="1260"/>
      <c r="AH29" s="1260"/>
      <c r="AI29" s="1260"/>
      <c r="AJ29" s="41"/>
    </row>
    <row r="30" spans="1:48" ht="30" customHeight="1">
      <c r="A30" s="146" t="s">
        <v>509</v>
      </c>
      <c r="B30" s="1048" t="s">
        <v>377</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378</v>
      </c>
      <c r="AB30" s="936"/>
      <c r="AC30" s="936"/>
      <c r="AD30" s="936"/>
      <c r="AE30" s="936"/>
      <c r="AF30" s="936"/>
      <c r="AG30" s="936"/>
      <c r="AH30" s="936"/>
      <c r="AI30" s="936"/>
      <c r="AJ30" s="41"/>
      <c r="AK30" s="32"/>
    </row>
    <row r="31" spans="1:48" ht="30" customHeight="1">
      <c r="A31" s="146" t="s">
        <v>509</v>
      </c>
      <c r="B31" s="1048" t="s">
        <v>379</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380</v>
      </c>
      <c r="AB31" s="1260"/>
      <c r="AC31" s="1260"/>
      <c r="AD31" s="1260"/>
      <c r="AE31" s="1260"/>
      <c r="AF31" s="1260"/>
      <c r="AG31" s="1260"/>
      <c r="AH31" s="1260"/>
      <c r="AI31" s="1260"/>
      <c r="AJ31" s="41"/>
      <c r="AK31" s="32"/>
      <c r="AL31" s="33"/>
    </row>
    <row r="32" spans="1:48" ht="19.95" customHeight="1">
      <c r="A32" s="146" t="s">
        <v>509</v>
      </c>
      <c r="B32" s="1307" t="s">
        <v>528</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382</v>
      </c>
      <c r="AB32" s="949"/>
      <c r="AC32" s="949"/>
      <c r="AD32" s="949"/>
      <c r="AE32" s="949"/>
      <c r="AF32" s="949"/>
      <c r="AG32" s="949"/>
      <c r="AH32" s="949"/>
      <c r="AI32" s="949"/>
      <c r="AJ32" s="41"/>
      <c r="AK32" s="32"/>
      <c r="AL32" s="33"/>
    </row>
    <row r="33" spans="1:52" ht="19.95" customHeight="1" thickBot="1">
      <c r="A33" s="149" t="s">
        <v>509</v>
      </c>
      <c r="B33" s="1250" t="s">
        <v>529</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378</v>
      </c>
      <c r="AB33" s="936"/>
      <c r="AC33" s="936"/>
      <c r="AD33" s="936"/>
      <c r="AE33" s="936"/>
      <c r="AF33" s="936"/>
      <c r="AG33" s="936"/>
      <c r="AH33" s="936"/>
      <c r="AI33" s="936"/>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v>
      </c>
      <c r="AI35" s="1253"/>
      <c r="AJ35" s="37"/>
      <c r="AK35" s="871" t="s">
        <v>530</v>
      </c>
      <c r="AL35" s="872"/>
      <c r="AM35" s="872"/>
      <c r="AN35" s="872"/>
      <c r="AO35" s="872"/>
      <c r="AP35" s="872"/>
      <c r="AQ35" s="872"/>
      <c r="AR35" s="872"/>
      <c r="AS35" s="872"/>
      <c r="AT35" s="872"/>
      <c r="AU35" s="872"/>
      <c r="AV35" s="873"/>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325" t="s">
        <v>531</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532</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200000000000003" customHeight="1" thickBot="1">
      <c r="A40" s="36"/>
      <c r="B40" s="151" t="s">
        <v>509</v>
      </c>
      <c r="C40" s="1325" t="s">
        <v>533</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5" customHeight="1" thickBot="1">
      <c r="A41" s="36"/>
      <c r="B41" s="150"/>
      <c r="C41" s="1326" t="s">
        <v>534</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388</v>
      </c>
      <c r="C43" s="46"/>
      <c r="D43" s="860">
        <v>7</v>
      </c>
      <c r="E43" s="1256"/>
      <c r="F43" s="46" t="s">
        <v>389</v>
      </c>
      <c r="G43" s="1254">
        <v>4</v>
      </c>
      <c r="H43" s="1255"/>
      <c r="I43" s="46" t="s">
        <v>390</v>
      </c>
      <c r="J43" s="1254">
        <v>1</v>
      </c>
      <c r="K43" s="1255"/>
      <c r="L43" s="46" t="s">
        <v>391</v>
      </c>
      <c r="M43" s="41"/>
      <c r="N43" s="860" t="s">
        <v>258</v>
      </c>
      <c r="O43" s="860"/>
      <c r="P43" s="860"/>
      <c r="Q43" s="1330" t="str">
        <f>IF(G5="","",G5)</f>
        <v>○○ケアサービス</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392</v>
      </c>
      <c r="O44" s="1018"/>
      <c r="P44" s="1018"/>
      <c r="Q44" s="845" t="s">
        <v>29</v>
      </c>
      <c r="R44" s="845"/>
      <c r="S44" s="1305" t="str">
        <f>IF(基本情報入力シート!L26="", "", 基本情報入力シート!L26)</f>
        <v>代表取締役</v>
      </c>
      <c r="T44" s="1305"/>
      <c r="U44" s="1305"/>
      <c r="V44" s="1305"/>
      <c r="W44" s="1305"/>
      <c r="X44" s="1017"/>
      <c r="Y44" s="1017"/>
      <c r="Z44" s="1305" t="str">
        <f>IF(基本情報入力シート!L27="", "", 基本情報入力シート!L27)</f>
        <v>厚労 花子</v>
      </c>
      <c r="AA44" s="1305"/>
      <c r="AB44" s="1305"/>
      <c r="AC44" s="1305"/>
      <c r="AD44" s="1305"/>
      <c r="AE44" s="1305"/>
      <c r="AF44" s="1305"/>
      <c r="AG44" s="1305"/>
      <c r="AH44" s="1305"/>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535</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538</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539</v>
      </c>
    </row>
    <row r="52" spans="1:53">
      <c r="A52" s="1234" t="s">
        <v>540</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〇</v>
      </c>
      <c r="AF52" s="1231"/>
      <c r="AG52" s="1231"/>
      <c r="AH52" s="1231"/>
      <c r="AI52" s="1231"/>
      <c r="AJ52" s="1231"/>
      <c r="BA52" s="94">
        <f>COUNTIF(A52:AJ58, "×")</f>
        <v>0</v>
      </c>
    </row>
    <row r="53" spans="1:53" ht="15" customHeight="1">
      <c r="A53" s="1327" t="s">
        <v>541</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542</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v>
      </c>
      <c r="AF54" s="1231"/>
      <c r="AG54" s="1231"/>
      <c r="AH54" s="1231"/>
      <c r="AI54" s="1231"/>
      <c r="AJ54" s="1231"/>
    </row>
    <row r="55" spans="1:53">
      <c r="A55" s="1236" t="s">
        <v>543</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v>
      </c>
      <c r="AF55" s="1231"/>
      <c r="AG55" s="1231"/>
      <c r="AH55" s="1231"/>
      <c r="AI55" s="1231"/>
      <c r="AJ55" s="1231"/>
    </row>
    <row r="56" spans="1:53" ht="15" customHeight="1">
      <c r="A56" s="1327" t="s">
        <v>544</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545</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v>
      </c>
      <c r="AF57" s="1231"/>
      <c r="AG57" s="1231"/>
      <c r="AH57" s="1231"/>
      <c r="AI57" s="1231"/>
      <c r="AJ57" s="1231"/>
      <c r="AR57" s="391"/>
    </row>
    <row r="58" spans="1:53">
      <c r="A58" s="1238" t="s">
        <v>546</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v>
      </c>
      <c r="AF58" s="1231"/>
      <c r="AG58" s="1231"/>
      <c r="AH58" s="1231"/>
      <c r="AI58" s="1231"/>
      <c r="AJ58" s="1231"/>
    </row>
    <row r="59" spans="1:53">
      <c r="A59" s="1236" t="s">
        <v>547</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v>
      </c>
      <c r="AF59" s="1231"/>
      <c r="AG59" s="1231"/>
      <c r="AH59" s="1231"/>
      <c r="AI59" s="1231"/>
      <c r="AJ59" s="123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1" t="s">
        <v>548</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399999999999999"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61</v>
      </c>
      <c r="B63" s="1319"/>
      <c r="C63" s="1320" t="s">
        <v>550</v>
      </c>
      <c r="D63" s="1320"/>
      <c r="E63" s="1320"/>
      <c r="F63" s="1320"/>
      <c r="G63" s="1320"/>
      <c r="H63" s="1320" t="s">
        <v>551</v>
      </c>
      <c r="I63" s="1320"/>
      <c r="J63" s="1320"/>
      <c r="K63" s="1320"/>
      <c r="L63" s="1320"/>
      <c r="M63" s="1320"/>
      <c r="N63" s="1320"/>
      <c r="O63" s="1320"/>
      <c r="P63" s="1320"/>
      <c r="Q63" s="1320"/>
      <c r="R63" s="1320"/>
      <c r="S63" s="1320"/>
      <c r="T63" s="1316" t="s">
        <v>552</v>
      </c>
      <c r="U63" s="1317"/>
      <c r="V63" s="1317"/>
      <c r="W63" s="1317"/>
      <c r="X63" s="1317"/>
      <c r="Y63" s="1317"/>
      <c r="Z63" s="1317"/>
      <c r="AA63" s="1317"/>
      <c r="AB63" s="1317"/>
      <c r="AC63" s="1317"/>
      <c r="AD63" s="1317"/>
      <c r="AE63" s="1317"/>
      <c r="AF63" s="1317"/>
      <c r="AG63" s="1317"/>
      <c r="AH63" s="1317"/>
      <c r="AI63" s="1317"/>
      <c r="AJ63" s="1318"/>
      <c r="AK63" s="931" t="s">
        <v>553</v>
      </c>
      <c r="AL63" s="931"/>
      <c r="AM63" s="931"/>
      <c r="AN63" s="931"/>
      <c r="AO63" s="931"/>
      <c r="AP63" s="931"/>
      <c r="AQ63" s="931"/>
      <c r="AR63" s="931"/>
      <c r="AS63" s="931"/>
      <c r="AT63" s="931"/>
      <c r="AU63" s="931"/>
      <c r="AV63" s="932"/>
    </row>
    <row r="64" spans="1:53" ht="31.95" customHeight="1">
      <c r="A64" s="1332" t="str">
        <f>AE1</f>
        <v>東京都</v>
      </c>
      <c r="B64" s="1332"/>
      <c r="C64" s="1314">
        <f>IFERROR(SUMIF('別紙様式2-4（補助金 個表） '!$D$11:$D$110, '別紙様式2-3（補助金　総括表）'!A64, '別紙様式2-4（補助金 個表） '!$M$11:$M$110), "未入力あり")</f>
        <v>35248800</v>
      </c>
      <c r="D64" s="1314"/>
      <c r="E64" s="1314"/>
      <c r="F64" s="1314"/>
      <c r="G64" s="1314"/>
      <c r="H64" s="1315" t="str">
        <f>IF(C64&gt;0, IFERROR((VLOOKUP(A64&amp;"○"&amp;"○", '別紙様式2-4（補助金 個表） '!AI:AJ, 2, FALSE)), "振込先未選択"), "")</f>
        <v>××ホームヘルプ</v>
      </c>
      <c r="I64" s="1315"/>
      <c r="J64" s="1315"/>
      <c r="K64" s="1315"/>
      <c r="L64" s="1315"/>
      <c r="M64" s="1315"/>
      <c r="N64" s="1315"/>
      <c r="O64" s="1315"/>
      <c r="P64" s="1315"/>
      <c r="Q64" s="1315"/>
      <c r="R64" s="1315"/>
      <c r="S64" s="1315"/>
      <c r="T64" s="1316" t="str">
        <f>IFERROR(IF(H64="", "", VLOOKUP(H64, '別紙様式2-4（補助金 個表） '!$F$11:$S$110, 14, FALSE)), "未記入")</f>
        <v>債権譲渡をしていない</v>
      </c>
      <c r="U64" s="1317"/>
      <c r="V64" s="1317"/>
      <c r="W64" s="1317"/>
      <c r="X64" s="1317"/>
      <c r="Y64" s="1317"/>
      <c r="Z64" s="1317"/>
      <c r="AA64" s="1317"/>
      <c r="AB64" s="1317"/>
      <c r="AC64" s="1317"/>
      <c r="AD64" s="1317"/>
      <c r="AE64" s="1317"/>
      <c r="AF64" s="1317"/>
      <c r="AG64" s="1317"/>
      <c r="AH64" s="1317"/>
      <c r="AI64" s="1317"/>
      <c r="AJ64" s="131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5"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5"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5"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5"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5"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5"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5"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5"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5"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5"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5"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5"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5"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5"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5"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5"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5"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5"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5"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5"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5"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5"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5"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5"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5"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5"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5"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5"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5"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5"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5"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5"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5"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5"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5"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5"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5"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5"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5"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5"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5"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5"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5"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5"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6" zoomScaleNormal="46" zoomScaleSheetLayoutView="85" zoomScalePageLayoutView="70" workbookViewId="0">
      <selection activeCell="F6" sqref="F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554</v>
      </c>
      <c r="B1" s="61"/>
      <c r="C1" s="277"/>
      <c r="D1" s="276"/>
      <c r="E1" s="61"/>
      <c r="F1" s="61"/>
      <c r="G1" s="61"/>
      <c r="H1" s="61"/>
      <c r="I1" s="61"/>
      <c r="J1" s="279"/>
      <c r="K1" s="61"/>
      <c r="L1" s="280"/>
      <c r="M1" s="1333" t="s">
        <v>254</v>
      </c>
      <c r="N1" s="935"/>
      <c r="O1" s="1334"/>
      <c r="P1" s="1333" t="str">
        <f>IF(基本情報入力シート!AA16&lt;&gt;"", 基本情報入力シート!AA16, "")</f>
        <v>東京都</v>
      </c>
      <c r="Q1" s="1335"/>
      <c r="R1" s="1336"/>
      <c r="S1" s="64"/>
      <c r="T1" s="145"/>
      <c r="U1" s="281"/>
      <c r="V1" s="281"/>
      <c r="W1" s="281"/>
      <c r="X1" s="281"/>
      <c r="Y1" s="281"/>
      <c r="Z1" s="281"/>
      <c r="AA1" s="281"/>
      <c r="AB1" s="281"/>
      <c r="AC1" s="281"/>
      <c r="AD1" s="281"/>
      <c r="AE1" s="281"/>
      <c r="AF1" s="94"/>
      <c r="AG1" s="94"/>
      <c r="AH1" s="838" t="s">
        <v>255</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加算様式を指定権者に提出</v>
      </c>
      <c r="AI2" s="838"/>
      <c r="AJ2" s="838"/>
      <c r="AK2" s="838"/>
      <c r="AL2" s="838"/>
    </row>
    <row r="3" spans="1:38" ht="31.2" customHeight="1" thickBot="1">
      <c r="A3" s="1373" t="s">
        <v>258</v>
      </c>
      <c r="B3" s="1374"/>
      <c r="C3" s="1375" t="str">
        <f>IF(基本情報入力シート!L22="", "", 基本情報入力シート!L22)</f>
        <v>○○ケアサービス</v>
      </c>
      <c r="D3" s="1376"/>
      <c r="E3" s="1376"/>
      <c r="F3" s="1377"/>
      <c r="G3" s="282"/>
      <c r="H3" s="1358" t="s">
        <v>555</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200000000000003" customHeight="1" thickBot="1">
      <c r="A5" s="1378" t="s">
        <v>556</v>
      </c>
      <c r="B5" s="1378"/>
      <c r="C5" s="1378"/>
      <c r="D5" s="1378"/>
      <c r="E5" s="1379"/>
      <c r="F5" s="590">
        <f>IFERROR(SUM(M:M),"")</f>
        <v>35248800</v>
      </c>
      <c r="G5" s="286"/>
      <c r="H5" s="1358"/>
      <c r="I5" s="1358"/>
      <c r="J5" s="1358"/>
      <c r="K5" s="1358"/>
      <c r="L5" s="1358"/>
      <c r="M5" s="1358"/>
      <c r="N5" s="1358"/>
      <c r="O5" s="1358"/>
      <c r="P5" s="1358"/>
      <c r="Q5" s="1358"/>
      <c r="R5" s="1358"/>
      <c r="S5" s="1358"/>
      <c r="T5" s="283"/>
    </row>
    <row r="6" spans="1:38" ht="36" customHeight="1" thickBot="1">
      <c r="A6" s="1392" t="s">
        <v>557</v>
      </c>
      <c r="B6" s="1393"/>
      <c r="C6" s="1393"/>
      <c r="D6" s="1393"/>
      <c r="E6" s="1393"/>
      <c r="F6" s="591">
        <f>IF(C3="", 0, IF(P1="", "提出先未選択", SUMIF(D:D, P1, M:M)))</f>
        <v>35248800</v>
      </c>
      <c r="G6" s="286"/>
      <c r="H6" s="1358"/>
      <c r="I6" s="1358"/>
      <c r="J6" s="1358"/>
      <c r="K6" s="1358"/>
      <c r="L6" s="1358"/>
      <c r="M6" s="1358"/>
      <c r="N6" s="1358"/>
      <c r="O6" s="1358"/>
      <c r="P6" s="1358"/>
      <c r="Q6" s="1358"/>
      <c r="R6" s="1358"/>
      <c r="S6" s="135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558</v>
      </c>
      <c r="B8" s="1383" t="s">
        <v>559</v>
      </c>
      <c r="C8" s="1386" t="s">
        <v>51</v>
      </c>
      <c r="D8" s="1369" t="s">
        <v>52</v>
      </c>
      <c r="E8" s="1370"/>
      <c r="F8" s="1389" t="s">
        <v>438</v>
      </c>
      <c r="G8" s="1366" t="s">
        <v>54</v>
      </c>
      <c r="H8" s="1363" t="s">
        <v>55</v>
      </c>
      <c r="I8" s="1386" t="s">
        <v>560</v>
      </c>
      <c r="J8" s="1340" t="s">
        <v>561</v>
      </c>
      <c r="K8" s="1343" t="s">
        <v>562</v>
      </c>
      <c r="L8" s="1346" t="s">
        <v>563</v>
      </c>
      <c r="M8" s="1360" t="s">
        <v>564</v>
      </c>
      <c r="N8" s="1352" t="s">
        <v>565</v>
      </c>
      <c r="O8" s="1353"/>
      <c r="P8" s="1353"/>
      <c r="Q8" s="1354"/>
      <c r="R8" s="1349" t="s">
        <v>566</v>
      </c>
      <c r="S8" s="1337" t="s">
        <v>567</v>
      </c>
      <c r="T8" s="364" t="str">
        <f>IF(C3="", "", IF(AND(COUNTA(基本情報入力シート!X40:X2039)=COUNTA(基本情報入力シート!AE40:AE2039), COUNTIF(I11:I2010, "○")=COUNTIF(AH11:AH2010, "○")), "○","×"))</f>
        <v>○</v>
      </c>
      <c r="U8" s="930" t="s">
        <v>568</v>
      </c>
      <c r="V8" s="931"/>
      <c r="W8" s="931"/>
      <c r="X8" s="931"/>
      <c r="Y8" s="931"/>
      <c r="Z8" s="931"/>
      <c r="AA8" s="931"/>
      <c r="AB8" s="931"/>
      <c r="AC8" s="931"/>
      <c r="AD8" s="931"/>
      <c r="AE8" s="932"/>
      <c r="AF8" s="145"/>
      <c r="AG8" s="145"/>
      <c r="AH8" s="290"/>
    </row>
    <row r="9" spans="1:38" ht="82.95"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v>
      </c>
      <c r="U9" s="930" t="s">
        <v>569</v>
      </c>
      <c r="V9" s="931"/>
      <c r="W9" s="931"/>
      <c r="X9" s="931"/>
      <c r="Y9" s="931"/>
      <c r="Z9" s="931"/>
      <c r="AA9" s="931"/>
      <c r="AB9" s="931"/>
      <c r="AC9" s="931"/>
      <c r="AD9" s="931"/>
      <c r="AE9" s="932"/>
      <c r="AF9" s="145"/>
      <c r="AG9" s="145"/>
      <c r="AH9" s="290"/>
    </row>
    <row r="10" spans="1:38" ht="47.25" customHeight="1" thickBot="1">
      <c r="A10" s="1382"/>
      <c r="B10" s="1385"/>
      <c r="C10" s="1388"/>
      <c r="D10" s="291" t="s">
        <v>61</v>
      </c>
      <c r="E10" s="291" t="s">
        <v>62</v>
      </c>
      <c r="F10" s="1391"/>
      <c r="G10" s="1368"/>
      <c r="H10" s="1365"/>
      <c r="I10" s="1388"/>
      <c r="J10" s="1342"/>
      <c r="K10" s="1345"/>
      <c r="L10" s="1348"/>
      <c r="M10" s="1362"/>
      <c r="N10" s="292" t="s">
        <v>570</v>
      </c>
      <c r="O10" s="292" t="s">
        <v>571</v>
      </c>
      <c r="P10" s="292" t="s">
        <v>572</v>
      </c>
      <c r="Q10" s="292" t="s">
        <v>573</v>
      </c>
      <c r="R10" s="1351"/>
      <c r="S10" s="1339"/>
      <c r="T10" s="364" t="str">
        <f>IF(C3="", "", IF(COUNTIFS(R11:R2010, "○", S11:S2010, "")=0, "○","×"))</f>
        <v>○</v>
      </c>
      <c r="U10" s="930" t="s">
        <v>574</v>
      </c>
      <c r="V10" s="931"/>
      <c r="W10" s="931"/>
      <c r="X10" s="931"/>
      <c r="Y10" s="931"/>
      <c r="Z10" s="931"/>
      <c r="AA10" s="931"/>
      <c r="AB10" s="931"/>
      <c r="AC10" s="931"/>
      <c r="AD10" s="931"/>
      <c r="AE10" s="932"/>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19" t="str">
        <f t="shared" si="2"/>
        <v/>
      </c>
      <c r="V13" s="1119"/>
      <c r="W13" s="1119"/>
      <c r="X13" s="1119"/>
      <c r="Y13" s="1119"/>
      <c r="Z13" s="1119"/>
      <c r="AA13" s="1119"/>
      <c r="AB13" s="1119"/>
      <c r="AC13" s="1119"/>
      <c r="AD13" s="1119"/>
      <c r="AE13" s="111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19" t="str">
        <f t="shared" si="2"/>
        <v/>
      </c>
      <c r="V14" s="1119"/>
      <c r="W14" s="1119"/>
      <c r="X14" s="1119"/>
      <c r="Y14" s="1119"/>
      <c r="Z14" s="1119"/>
      <c r="AA14" s="1119"/>
      <c r="AB14" s="1119"/>
      <c r="AC14" s="1119"/>
      <c r="AD14" s="1119"/>
      <c r="AE14" s="111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19" t="str">
        <f t="shared" si="2"/>
        <v/>
      </c>
      <c r="V15" s="1119"/>
      <c r="W15" s="1119"/>
      <c r="X15" s="1119"/>
      <c r="Y15" s="1119"/>
      <c r="Z15" s="1119"/>
      <c r="AA15" s="1119"/>
      <c r="AB15" s="1119"/>
      <c r="AC15" s="1119"/>
      <c r="AD15" s="1119"/>
      <c r="AE15" s="111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19" t="str">
        <f t="shared" si="2"/>
        <v/>
      </c>
      <c r="V16" s="1119"/>
      <c r="W16" s="1119"/>
      <c r="X16" s="1119"/>
      <c r="Y16" s="1119"/>
      <c r="Z16" s="1119"/>
      <c r="AA16" s="1119"/>
      <c r="AB16" s="1119"/>
      <c r="AC16" s="1119"/>
      <c r="AD16" s="1119"/>
      <c r="AE16" s="111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19" t="str">
        <f t="shared" si="2"/>
        <v/>
      </c>
      <c r="V17" s="1119"/>
      <c r="W17" s="1119"/>
      <c r="X17" s="1119"/>
      <c r="Y17" s="1119"/>
      <c r="Z17" s="1119"/>
      <c r="AA17" s="1119"/>
      <c r="AB17" s="1119"/>
      <c r="AC17" s="1119"/>
      <c r="AD17" s="1119"/>
      <c r="AE17" s="111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19" t="str">
        <f t="shared" si="2"/>
        <v/>
      </c>
      <c r="V18" s="1119"/>
      <c r="W18" s="1119"/>
      <c r="X18" s="1119"/>
      <c r="Y18" s="1119"/>
      <c r="Z18" s="1119"/>
      <c r="AA18" s="1119"/>
      <c r="AB18" s="1119"/>
      <c r="AC18" s="1119"/>
      <c r="AD18" s="1119"/>
      <c r="AE18" s="111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19" t="str">
        <f t="shared" si="2"/>
        <v/>
      </c>
      <c r="V19" s="1119"/>
      <c r="W19" s="1119"/>
      <c r="X19" s="1119"/>
      <c r="Y19" s="1119"/>
      <c r="Z19" s="1119"/>
      <c r="AA19" s="1119"/>
      <c r="AB19" s="1119"/>
      <c r="AC19" s="1119"/>
      <c r="AD19" s="1119"/>
      <c r="AE19" s="111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19" t="str">
        <f t="shared" si="2"/>
        <v/>
      </c>
      <c r="V20" s="1119"/>
      <c r="W20" s="1119"/>
      <c r="X20" s="1119"/>
      <c r="Y20" s="1119"/>
      <c r="Z20" s="1119"/>
      <c r="AA20" s="1119"/>
      <c r="AB20" s="1119"/>
      <c r="AC20" s="1119"/>
      <c r="AD20" s="1119"/>
      <c r="AE20" s="111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19" t="str">
        <f t="shared" si="2"/>
        <v/>
      </c>
      <c r="V21" s="1119"/>
      <c r="W21" s="1119"/>
      <c r="X21" s="1119"/>
      <c r="Y21" s="1119"/>
      <c r="Z21" s="1119"/>
      <c r="AA21" s="1119"/>
      <c r="AB21" s="1119"/>
      <c r="AC21" s="1119"/>
      <c r="AD21" s="1119"/>
      <c r="AE21" s="111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19" t="str">
        <f t="shared" si="2"/>
        <v/>
      </c>
      <c r="V22" s="1119"/>
      <c r="W22" s="1119"/>
      <c r="X22" s="1119"/>
      <c r="Y22" s="1119"/>
      <c r="Z22" s="1119"/>
      <c r="AA22" s="1119"/>
      <c r="AB22" s="1119"/>
      <c r="AC22" s="1119"/>
      <c r="AD22" s="1119"/>
      <c r="AE22" s="111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19" t="str">
        <f t="shared" si="2"/>
        <v/>
      </c>
      <c r="V23" s="1119"/>
      <c r="W23" s="1119"/>
      <c r="X23" s="1119"/>
      <c r="Y23" s="1119"/>
      <c r="Z23" s="1119"/>
      <c r="AA23" s="1119"/>
      <c r="AB23" s="1119"/>
      <c r="AC23" s="1119"/>
      <c r="AD23" s="1119"/>
      <c r="AE23" s="111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19" t="str">
        <f t="shared" si="2"/>
        <v/>
      </c>
      <c r="V24" s="1119"/>
      <c r="W24" s="1119"/>
      <c r="X24" s="1119"/>
      <c r="Y24" s="1119"/>
      <c r="Z24" s="1119"/>
      <c r="AA24" s="1119"/>
      <c r="AB24" s="1119"/>
      <c r="AC24" s="1119"/>
      <c r="AD24" s="1119"/>
      <c r="AE24" s="111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19" t="str">
        <f t="shared" si="2"/>
        <v/>
      </c>
      <c r="V25" s="1119"/>
      <c r="W25" s="1119"/>
      <c r="X25" s="1119"/>
      <c r="Y25" s="1119"/>
      <c r="Z25" s="1119"/>
      <c r="AA25" s="1119"/>
      <c r="AB25" s="1119"/>
      <c r="AC25" s="1119"/>
      <c r="AD25" s="1119"/>
      <c r="AE25" s="111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19" t="str">
        <f t="shared" si="2"/>
        <v/>
      </c>
      <c r="V26" s="1119"/>
      <c r="W26" s="1119"/>
      <c r="X26" s="1119"/>
      <c r="Y26" s="1119"/>
      <c r="Z26" s="1119"/>
      <c r="AA26" s="1119"/>
      <c r="AB26" s="1119"/>
      <c r="AC26" s="1119"/>
      <c r="AD26" s="1119"/>
      <c r="AE26" s="111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19" t="str">
        <f t="shared" si="2"/>
        <v/>
      </c>
      <c r="V27" s="1119"/>
      <c r="W27" s="1119"/>
      <c r="X27" s="1119"/>
      <c r="Y27" s="1119"/>
      <c r="Z27" s="1119"/>
      <c r="AA27" s="1119"/>
      <c r="AB27" s="1119"/>
      <c r="AC27" s="1119"/>
      <c r="AD27" s="1119"/>
      <c r="AE27" s="111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19" t="str">
        <f t="shared" si="2"/>
        <v/>
      </c>
      <c r="V28" s="1119"/>
      <c r="W28" s="1119"/>
      <c r="X28" s="1119"/>
      <c r="Y28" s="1119"/>
      <c r="Z28" s="1119"/>
      <c r="AA28" s="1119"/>
      <c r="AB28" s="1119"/>
      <c r="AC28" s="1119"/>
      <c r="AD28" s="1119"/>
      <c r="AE28" s="111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19" t="str">
        <f t="shared" si="2"/>
        <v/>
      </c>
      <c r="V29" s="1119"/>
      <c r="W29" s="1119"/>
      <c r="X29" s="1119"/>
      <c r="Y29" s="1119"/>
      <c r="Z29" s="1119"/>
      <c r="AA29" s="1119"/>
      <c r="AB29" s="1119"/>
      <c r="AC29" s="1119"/>
      <c r="AD29" s="1119"/>
      <c r="AE29" s="111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19" t="str">
        <f t="shared" si="2"/>
        <v/>
      </c>
      <c r="V30" s="1119"/>
      <c r="W30" s="1119"/>
      <c r="X30" s="1119"/>
      <c r="Y30" s="1119"/>
      <c r="Z30" s="1119"/>
      <c r="AA30" s="1119"/>
      <c r="AB30" s="1119"/>
      <c r="AC30" s="1119"/>
      <c r="AD30" s="1119"/>
      <c r="AE30" s="111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19" t="str">
        <f t="shared" si="2"/>
        <v/>
      </c>
      <c r="V31" s="1119"/>
      <c r="W31" s="1119"/>
      <c r="X31" s="1119"/>
      <c r="Y31" s="1119"/>
      <c r="Z31" s="1119"/>
      <c r="AA31" s="1119"/>
      <c r="AB31" s="1119"/>
      <c r="AC31" s="1119"/>
      <c r="AD31" s="1119"/>
      <c r="AE31" s="111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19" t="str">
        <f t="shared" si="2"/>
        <v/>
      </c>
      <c r="V32" s="1119"/>
      <c r="W32" s="1119"/>
      <c r="X32" s="1119"/>
      <c r="Y32" s="1119"/>
      <c r="Z32" s="1119"/>
      <c r="AA32" s="1119"/>
      <c r="AB32" s="1119"/>
      <c r="AC32" s="1119"/>
      <c r="AD32" s="1119"/>
      <c r="AE32" s="111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19" t="str">
        <f t="shared" si="2"/>
        <v/>
      </c>
      <c r="V33" s="1119"/>
      <c r="W33" s="1119"/>
      <c r="X33" s="1119"/>
      <c r="Y33" s="1119"/>
      <c r="Z33" s="1119"/>
      <c r="AA33" s="1119"/>
      <c r="AB33" s="1119"/>
      <c r="AC33" s="1119"/>
      <c r="AD33" s="1119"/>
      <c r="AE33" s="111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19" t="str">
        <f t="shared" si="2"/>
        <v/>
      </c>
      <c r="V34" s="1119"/>
      <c r="W34" s="1119"/>
      <c r="X34" s="1119"/>
      <c r="Y34" s="1119"/>
      <c r="Z34" s="1119"/>
      <c r="AA34" s="1119"/>
      <c r="AB34" s="1119"/>
      <c r="AC34" s="1119"/>
      <c r="AD34" s="1119"/>
      <c r="AE34" s="111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19" t="str">
        <f t="shared" si="2"/>
        <v/>
      </c>
      <c r="V35" s="1119"/>
      <c r="W35" s="1119"/>
      <c r="X35" s="1119"/>
      <c r="Y35" s="1119"/>
      <c r="Z35" s="1119"/>
      <c r="AA35" s="1119"/>
      <c r="AB35" s="1119"/>
      <c r="AC35" s="1119"/>
      <c r="AD35" s="1119"/>
      <c r="AE35" s="111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19" t="str">
        <f t="shared" si="2"/>
        <v/>
      </c>
      <c r="V36" s="1119"/>
      <c r="W36" s="1119"/>
      <c r="X36" s="1119"/>
      <c r="Y36" s="1119"/>
      <c r="Z36" s="1119"/>
      <c r="AA36" s="1119"/>
      <c r="AB36" s="1119"/>
      <c r="AC36" s="1119"/>
      <c r="AD36" s="1119"/>
      <c r="AE36" s="111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19" t="str">
        <f t="shared" si="2"/>
        <v/>
      </c>
      <c r="V37" s="1119"/>
      <c r="W37" s="1119"/>
      <c r="X37" s="1119"/>
      <c r="Y37" s="1119"/>
      <c r="Z37" s="1119"/>
      <c r="AA37" s="1119"/>
      <c r="AB37" s="1119"/>
      <c r="AC37" s="1119"/>
      <c r="AD37" s="1119"/>
      <c r="AE37" s="111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19" t="str">
        <f t="shared" si="2"/>
        <v/>
      </c>
      <c r="V38" s="1119"/>
      <c r="W38" s="1119"/>
      <c r="X38" s="1119"/>
      <c r="Y38" s="1119"/>
      <c r="Z38" s="1119"/>
      <c r="AA38" s="1119"/>
      <c r="AB38" s="1119"/>
      <c r="AC38" s="1119"/>
      <c r="AD38" s="1119"/>
      <c r="AE38" s="111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19" t="str">
        <f t="shared" si="2"/>
        <v/>
      </c>
      <c r="V39" s="1119"/>
      <c r="W39" s="1119"/>
      <c r="X39" s="1119"/>
      <c r="Y39" s="1119"/>
      <c r="Z39" s="1119"/>
      <c r="AA39" s="1119"/>
      <c r="AB39" s="1119"/>
      <c r="AC39" s="1119"/>
      <c r="AD39" s="1119"/>
      <c r="AE39" s="111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19" t="str">
        <f t="shared" si="2"/>
        <v/>
      </c>
      <c r="V40" s="1119"/>
      <c r="W40" s="1119"/>
      <c r="X40" s="1119"/>
      <c r="Y40" s="1119"/>
      <c r="Z40" s="1119"/>
      <c r="AA40" s="1119"/>
      <c r="AB40" s="1119"/>
      <c r="AC40" s="1119"/>
      <c r="AD40" s="1119"/>
      <c r="AE40" s="111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19" t="str">
        <f t="shared" si="2"/>
        <v/>
      </c>
      <c r="V41" s="1119"/>
      <c r="W41" s="1119"/>
      <c r="X41" s="1119"/>
      <c r="Y41" s="1119"/>
      <c r="Z41" s="1119"/>
      <c r="AA41" s="1119"/>
      <c r="AB41" s="1119"/>
      <c r="AC41" s="1119"/>
      <c r="AD41" s="1119"/>
      <c r="AE41" s="111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19" t="str">
        <f t="shared" si="2"/>
        <v/>
      </c>
      <c r="V42" s="1119"/>
      <c r="W42" s="1119"/>
      <c r="X42" s="1119"/>
      <c r="Y42" s="1119"/>
      <c r="Z42" s="1119"/>
      <c r="AA42" s="1119"/>
      <c r="AB42" s="1119"/>
      <c r="AC42" s="1119"/>
      <c r="AD42" s="1119"/>
      <c r="AE42" s="111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19" t="str">
        <f t="shared" si="2"/>
        <v/>
      </c>
      <c r="V43" s="1119"/>
      <c r="W43" s="1119"/>
      <c r="X43" s="1119"/>
      <c r="Y43" s="1119"/>
      <c r="Z43" s="1119"/>
      <c r="AA43" s="1119"/>
      <c r="AB43" s="1119"/>
      <c r="AC43" s="1119"/>
      <c r="AD43" s="1119"/>
      <c r="AE43" s="111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19" t="str">
        <f t="shared" si="2"/>
        <v/>
      </c>
      <c r="V44" s="1119"/>
      <c r="W44" s="1119"/>
      <c r="X44" s="1119"/>
      <c r="Y44" s="1119"/>
      <c r="Z44" s="1119"/>
      <c r="AA44" s="1119"/>
      <c r="AB44" s="1119"/>
      <c r="AC44" s="1119"/>
      <c r="AD44" s="1119"/>
      <c r="AE44" s="111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19" t="str">
        <f t="shared" si="2"/>
        <v/>
      </c>
      <c r="V45" s="1119"/>
      <c r="W45" s="1119"/>
      <c r="X45" s="1119"/>
      <c r="Y45" s="1119"/>
      <c r="Z45" s="1119"/>
      <c r="AA45" s="1119"/>
      <c r="AB45" s="1119"/>
      <c r="AC45" s="1119"/>
      <c r="AD45" s="1119"/>
      <c r="AE45" s="111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19" t="str">
        <f t="shared" si="2"/>
        <v/>
      </c>
      <c r="V46" s="1119"/>
      <c r="W46" s="1119"/>
      <c r="X46" s="1119"/>
      <c r="Y46" s="1119"/>
      <c r="Z46" s="1119"/>
      <c r="AA46" s="1119"/>
      <c r="AB46" s="1119"/>
      <c r="AC46" s="1119"/>
      <c r="AD46" s="1119"/>
      <c r="AE46" s="111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19" t="str">
        <f t="shared" si="2"/>
        <v/>
      </c>
      <c r="V47" s="1119"/>
      <c r="W47" s="1119"/>
      <c r="X47" s="1119"/>
      <c r="Y47" s="1119"/>
      <c r="Z47" s="1119"/>
      <c r="AA47" s="1119"/>
      <c r="AB47" s="1119"/>
      <c r="AC47" s="1119"/>
      <c r="AD47" s="1119"/>
      <c r="AE47" s="111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19" t="str">
        <f t="shared" si="2"/>
        <v/>
      </c>
      <c r="V48" s="1119"/>
      <c r="W48" s="1119"/>
      <c r="X48" s="1119"/>
      <c r="Y48" s="1119"/>
      <c r="Z48" s="1119"/>
      <c r="AA48" s="1119"/>
      <c r="AB48" s="1119"/>
      <c r="AC48" s="1119"/>
      <c r="AD48" s="1119"/>
      <c r="AE48" s="111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19" t="str">
        <f t="shared" si="2"/>
        <v/>
      </c>
      <c r="V49" s="1119"/>
      <c r="W49" s="1119"/>
      <c r="X49" s="1119"/>
      <c r="Y49" s="1119"/>
      <c r="Z49" s="1119"/>
      <c r="AA49" s="1119"/>
      <c r="AB49" s="1119"/>
      <c r="AC49" s="1119"/>
      <c r="AD49" s="1119"/>
      <c r="AE49" s="111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19" t="str">
        <f t="shared" si="2"/>
        <v/>
      </c>
      <c r="V50" s="1119"/>
      <c r="W50" s="1119"/>
      <c r="X50" s="1119"/>
      <c r="Y50" s="1119"/>
      <c r="Z50" s="1119"/>
      <c r="AA50" s="1119"/>
      <c r="AB50" s="1119"/>
      <c r="AC50" s="1119"/>
      <c r="AD50" s="1119"/>
      <c r="AE50" s="111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19" t="str">
        <f t="shared" si="2"/>
        <v/>
      </c>
      <c r="V51" s="1119"/>
      <c r="W51" s="1119"/>
      <c r="X51" s="1119"/>
      <c r="Y51" s="1119"/>
      <c r="Z51" s="1119"/>
      <c r="AA51" s="1119"/>
      <c r="AB51" s="1119"/>
      <c r="AC51" s="1119"/>
      <c r="AD51" s="1119"/>
      <c r="AE51" s="111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19" t="str">
        <f t="shared" si="2"/>
        <v/>
      </c>
      <c r="V52" s="1119"/>
      <c r="W52" s="1119"/>
      <c r="X52" s="1119"/>
      <c r="Y52" s="1119"/>
      <c r="Z52" s="1119"/>
      <c r="AA52" s="1119"/>
      <c r="AB52" s="1119"/>
      <c r="AC52" s="1119"/>
      <c r="AD52" s="1119"/>
      <c r="AE52" s="111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19" t="str">
        <f t="shared" si="2"/>
        <v/>
      </c>
      <c r="V53" s="1119"/>
      <c r="W53" s="1119"/>
      <c r="X53" s="1119"/>
      <c r="Y53" s="1119"/>
      <c r="Z53" s="1119"/>
      <c r="AA53" s="1119"/>
      <c r="AB53" s="1119"/>
      <c r="AC53" s="1119"/>
      <c r="AD53" s="1119"/>
      <c r="AE53" s="111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19" t="str">
        <f t="shared" si="2"/>
        <v/>
      </c>
      <c r="V54" s="1119"/>
      <c r="W54" s="1119"/>
      <c r="X54" s="1119"/>
      <c r="Y54" s="1119"/>
      <c r="Z54" s="1119"/>
      <c r="AA54" s="1119"/>
      <c r="AB54" s="1119"/>
      <c r="AC54" s="1119"/>
      <c r="AD54" s="1119"/>
      <c r="AE54" s="111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19" t="str">
        <f t="shared" si="2"/>
        <v/>
      </c>
      <c r="V55" s="1119"/>
      <c r="W55" s="1119"/>
      <c r="X55" s="1119"/>
      <c r="Y55" s="1119"/>
      <c r="Z55" s="1119"/>
      <c r="AA55" s="1119"/>
      <c r="AB55" s="1119"/>
      <c r="AC55" s="1119"/>
      <c r="AD55" s="1119"/>
      <c r="AE55" s="111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19" t="str">
        <f t="shared" si="2"/>
        <v/>
      </c>
      <c r="V56" s="1119"/>
      <c r="W56" s="1119"/>
      <c r="X56" s="1119"/>
      <c r="Y56" s="1119"/>
      <c r="Z56" s="1119"/>
      <c r="AA56" s="1119"/>
      <c r="AB56" s="1119"/>
      <c r="AC56" s="1119"/>
      <c r="AD56" s="1119"/>
      <c r="AE56" s="111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19" t="str">
        <f t="shared" si="2"/>
        <v/>
      </c>
      <c r="V57" s="1119"/>
      <c r="W57" s="1119"/>
      <c r="X57" s="1119"/>
      <c r="Y57" s="1119"/>
      <c r="Z57" s="1119"/>
      <c r="AA57" s="1119"/>
      <c r="AB57" s="1119"/>
      <c r="AC57" s="1119"/>
      <c r="AD57" s="1119"/>
      <c r="AE57" s="111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581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3" t="s">
        <v>582</v>
      </c>
      <c r="C3" s="1413"/>
      <c r="D3" s="1413"/>
      <c r="E3" s="1413"/>
      <c r="F3" s="1413"/>
      <c r="G3" s="1413"/>
      <c r="H3" s="1413"/>
      <c r="I3" s="1413"/>
      <c r="J3" s="558"/>
    </row>
    <row r="4" spans="1:10" s="559" customFormat="1" ht="25.2" customHeight="1">
      <c r="A4" s="558"/>
      <c r="B4" s="1409" t="s">
        <v>583</v>
      </c>
      <c r="C4" s="1410"/>
      <c r="D4" s="1410"/>
      <c r="E4" s="1410"/>
      <c r="F4" s="1410"/>
      <c r="G4" s="1410"/>
      <c r="H4" s="1410"/>
      <c r="I4" s="1411"/>
      <c r="J4" s="558"/>
    </row>
    <row r="5" spans="1:10" s="559" customFormat="1" ht="25.2" customHeight="1">
      <c r="A5" s="558"/>
      <c r="B5" s="560" t="s">
        <v>584</v>
      </c>
      <c r="C5" s="1409" t="s">
        <v>585</v>
      </c>
      <c r="D5" s="1410"/>
      <c r="E5" s="1410"/>
      <c r="F5" s="1410"/>
      <c r="G5" s="1410"/>
      <c r="H5" s="1410"/>
      <c r="I5" s="1411"/>
      <c r="J5" s="558"/>
    </row>
    <row r="6" spans="1:10" s="559" customFormat="1" ht="25.2" customHeight="1">
      <c r="A6" s="558"/>
      <c r="B6" s="560" t="s">
        <v>586</v>
      </c>
      <c r="C6" s="1409" t="s">
        <v>587</v>
      </c>
      <c r="D6" s="1410"/>
      <c r="E6" s="1410"/>
      <c r="F6" s="1410"/>
      <c r="G6" s="1410"/>
      <c r="H6" s="1410"/>
      <c r="I6" s="1411"/>
      <c r="J6" s="558"/>
    </row>
    <row r="7" spans="1:10" s="559" customFormat="1" ht="25.2" customHeight="1">
      <c r="A7" s="558"/>
      <c r="B7" s="560" t="s">
        <v>588</v>
      </c>
      <c r="C7" s="1409" t="s">
        <v>589</v>
      </c>
      <c r="D7" s="1410"/>
      <c r="E7" s="1410"/>
      <c r="F7" s="1410"/>
      <c r="G7" s="1410"/>
      <c r="H7" s="1410"/>
      <c r="I7" s="1411"/>
      <c r="J7" s="558"/>
    </row>
    <row r="8" spans="1:10" s="559" customFormat="1" ht="25.2" customHeight="1">
      <c r="A8" s="558"/>
      <c r="B8" s="561"/>
      <c r="C8" s="562"/>
      <c r="D8" s="563"/>
      <c r="E8" s="563"/>
      <c r="F8" s="563"/>
      <c r="G8" s="563"/>
      <c r="H8" s="563"/>
      <c r="I8" s="563"/>
      <c r="J8" s="558"/>
    </row>
    <row r="9" spans="1:10" s="559" customFormat="1" ht="36" customHeight="1">
      <c r="A9" s="558"/>
      <c r="B9" s="1413" t="s">
        <v>590</v>
      </c>
      <c r="C9" s="1413"/>
      <c r="D9" s="1413"/>
      <c r="E9" s="1413"/>
      <c r="F9" s="1413"/>
      <c r="G9" s="1413"/>
      <c r="H9" s="1413"/>
      <c r="I9" s="1413"/>
      <c r="J9" s="558"/>
    </row>
    <row r="10" spans="1:10" s="559" customFormat="1" ht="25.2" customHeight="1">
      <c r="A10" s="558"/>
      <c r="B10" s="1409" t="s">
        <v>591</v>
      </c>
      <c r="C10" s="1410"/>
      <c r="D10" s="1410"/>
      <c r="E10" s="1410"/>
      <c r="F10" s="1410"/>
      <c r="G10" s="1410"/>
      <c r="H10" s="1410"/>
      <c r="I10" s="1411"/>
      <c r="J10" s="558"/>
    </row>
    <row r="11" spans="1:10" s="559" customFormat="1" ht="56.4" customHeight="1">
      <c r="A11" s="558"/>
      <c r="B11" s="1414" t="s">
        <v>584</v>
      </c>
      <c r="C11" s="1396" t="s">
        <v>592</v>
      </c>
      <c r="D11" s="1397"/>
      <c r="E11" s="1397"/>
      <c r="F11" s="1397"/>
      <c r="G11" s="1397"/>
      <c r="H11" s="1397"/>
      <c r="I11" s="1398"/>
      <c r="J11" s="558"/>
    </row>
    <row r="12" spans="1:10" s="559" customFormat="1" ht="54.6" customHeight="1">
      <c r="A12" s="558"/>
      <c r="B12" s="1414"/>
      <c r="C12" s="1415" t="s">
        <v>593</v>
      </c>
      <c r="D12" s="560" t="s">
        <v>264</v>
      </c>
      <c r="E12" s="1396" t="s">
        <v>594</v>
      </c>
      <c r="F12" s="1397"/>
      <c r="G12" s="1397"/>
      <c r="H12" s="1397"/>
      <c r="I12" s="1398"/>
    </row>
    <row r="13" spans="1:10" s="559" customFormat="1" ht="32.4" customHeight="1">
      <c r="A13" s="558"/>
      <c r="B13" s="1414"/>
      <c r="C13" s="1416"/>
      <c r="D13" s="560" t="s">
        <v>267</v>
      </c>
      <c r="E13" s="1396" t="s">
        <v>595</v>
      </c>
      <c r="F13" s="1397"/>
      <c r="G13" s="1397"/>
      <c r="H13" s="1397"/>
      <c r="I13" s="1398"/>
    </row>
    <row r="14" spans="1:10" s="559" customFormat="1" ht="25.2" customHeight="1">
      <c r="A14" s="558"/>
      <c r="B14" s="560" t="s">
        <v>586</v>
      </c>
      <c r="C14" s="1409" t="s">
        <v>596</v>
      </c>
      <c r="D14" s="1410"/>
      <c r="E14" s="1410"/>
      <c r="F14" s="1410"/>
      <c r="G14" s="1410"/>
      <c r="H14" s="1410"/>
      <c r="I14" s="1411"/>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597</v>
      </c>
      <c r="C16" s="562"/>
      <c r="D16" s="562"/>
      <c r="E16" s="562"/>
      <c r="F16" s="562"/>
      <c r="G16" s="562"/>
      <c r="H16" s="562"/>
      <c r="I16" s="562"/>
      <c r="J16" s="564"/>
    </row>
    <row r="17" spans="1:10" s="559" customFormat="1" ht="25.2" customHeight="1">
      <c r="A17" s="558"/>
      <c r="B17" s="565" t="s">
        <v>584</v>
      </c>
      <c r="C17" s="1396" t="s">
        <v>598</v>
      </c>
      <c r="D17" s="1397"/>
      <c r="E17" s="1397"/>
      <c r="F17" s="1397"/>
      <c r="G17" s="1397"/>
      <c r="H17" s="1397"/>
      <c r="I17" s="1398"/>
      <c r="J17" s="566"/>
    </row>
    <row r="18" spans="1:10" s="559" customFormat="1" ht="49.95" customHeight="1">
      <c r="A18" s="558"/>
      <c r="B18" s="567"/>
      <c r="C18" s="1415" t="s">
        <v>599</v>
      </c>
      <c r="D18" s="560" t="s">
        <v>264</v>
      </c>
      <c r="E18" s="1396" t="s">
        <v>600</v>
      </c>
      <c r="F18" s="1397"/>
      <c r="G18" s="1397"/>
      <c r="H18" s="1397"/>
      <c r="I18" s="1398"/>
    </row>
    <row r="19" spans="1:10" s="559" customFormat="1" ht="76.2" customHeight="1">
      <c r="A19" s="558"/>
      <c r="B19" s="567"/>
      <c r="C19" s="1417"/>
      <c r="D19" s="560" t="s">
        <v>267</v>
      </c>
      <c r="E19" s="1396" t="s">
        <v>601</v>
      </c>
      <c r="F19" s="1397"/>
      <c r="G19" s="1397"/>
      <c r="H19" s="1397"/>
      <c r="I19" s="1398"/>
    </row>
    <row r="20" spans="1:10" s="559" customFormat="1" ht="78.599999999999994" customHeight="1">
      <c r="A20" s="558"/>
      <c r="B20" s="568"/>
      <c r="C20" s="1416"/>
      <c r="D20" s="560" t="s">
        <v>270</v>
      </c>
      <c r="E20" s="1396" t="s">
        <v>602</v>
      </c>
      <c r="F20" s="1397"/>
      <c r="G20" s="1397"/>
      <c r="H20" s="1397"/>
      <c r="I20" s="1398"/>
    </row>
    <row r="21" spans="1:10" s="559" customFormat="1" ht="25.2" customHeight="1">
      <c r="A21" s="558"/>
      <c r="B21" s="568" t="s">
        <v>586</v>
      </c>
      <c r="C21" s="1412" t="s">
        <v>596</v>
      </c>
      <c r="D21" s="1412"/>
      <c r="E21" s="1412"/>
      <c r="F21" s="1412"/>
      <c r="G21" s="1412"/>
      <c r="H21" s="1412"/>
      <c r="I21" s="1412"/>
      <c r="J21" s="569"/>
    </row>
    <row r="22" spans="1:10" ht="15.75" customHeight="1">
      <c r="A22" s="61"/>
      <c r="B22" s="61"/>
      <c r="C22" s="61"/>
      <c r="D22" s="61"/>
      <c r="E22" s="61"/>
      <c r="F22" s="61"/>
      <c r="G22" s="61"/>
      <c r="H22" s="61"/>
      <c r="I22" s="61"/>
      <c r="J22" s="61"/>
    </row>
    <row r="23" spans="1:10" ht="40.200000000000003" customHeight="1">
      <c r="A23" s="535" t="s">
        <v>603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604</v>
      </c>
      <c r="B25" s="539"/>
      <c r="C25" s="539"/>
      <c r="D25" s="539"/>
      <c r="E25" s="539"/>
      <c r="F25" s="539"/>
      <c r="G25" s="539"/>
      <c r="H25" s="539"/>
      <c r="I25" s="539"/>
    </row>
    <row r="26" spans="1:10" ht="42">
      <c r="A26" s="541" t="s">
        <v>605</v>
      </c>
      <c r="B26" s="542" t="s">
        <v>606</v>
      </c>
      <c r="C26" s="542" t="s">
        <v>607</v>
      </c>
      <c r="D26" s="1400" t="s">
        <v>608</v>
      </c>
      <c r="E26" s="1401"/>
      <c r="F26" s="542" t="s">
        <v>609</v>
      </c>
      <c r="G26" s="543" t="s">
        <v>610</v>
      </c>
      <c r="H26" s="543" t="s">
        <v>611</v>
      </c>
      <c r="I26" s="543" t="s">
        <v>612</v>
      </c>
    </row>
    <row r="27" spans="1:10" ht="115.2" customHeight="1">
      <c r="A27" s="544" t="s">
        <v>613</v>
      </c>
      <c r="B27" s="545" t="s">
        <v>614</v>
      </c>
      <c r="C27" s="546" t="s">
        <v>615</v>
      </c>
      <c r="D27" s="1394" t="s">
        <v>616</v>
      </c>
      <c r="E27" s="1395"/>
      <c r="F27" s="546" t="s">
        <v>617</v>
      </c>
      <c r="G27" s="546" t="s">
        <v>618</v>
      </c>
      <c r="H27" s="546" t="s">
        <v>619</v>
      </c>
      <c r="I27" s="546" t="s">
        <v>620</v>
      </c>
    </row>
    <row r="28" spans="1:10" ht="145.94999999999999" customHeight="1">
      <c r="A28" s="544" t="s">
        <v>613</v>
      </c>
      <c r="B28" s="545" t="s">
        <v>621</v>
      </c>
      <c r="C28" s="546" t="s">
        <v>622</v>
      </c>
      <c r="D28" s="1394" t="s">
        <v>623</v>
      </c>
      <c r="E28" s="1395"/>
      <c r="F28" s="546" t="s">
        <v>624</v>
      </c>
      <c r="G28" s="546" t="s">
        <v>625</v>
      </c>
      <c r="H28" s="546" t="s">
        <v>626</v>
      </c>
      <c r="I28" s="546" t="s">
        <v>620</v>
      </c>
    </row>
    <row r="29" spans="1:10" ht="168">
      <c r="A29" s="544" t="s">
        <v>627</v>
      </c>
      <c r="B29" s="545" t="s">
        <v>628</v>
      </c>
      <c r="C29" s="546" t="s">
        <v>629</v>
      </c>
      <c r="D29" s="1394" t="s">
        <v>630</v>
      </c>
      <c r="E29" s="1395"/>
      <c r="F29" s="546" t="s">
        <v>631</v>
      </c>
      <c r="G29" s="546" t="s">
        <v>632</v>
      </c>
      <c r="H29" s="546" t="s">
        <v>633</v>
      </c>
      <c r="I29" s="546" t="s">
        <v>634</v>
      </c>
    </row>
    <row r="30" spans="1:10" ht="147">
      <c r="A30" s="544" t="s">
        <v>635</v>
      </c>
      <c r="B30" s="541"/>
      <c r="C30" s="546" t="s">
        <v>636</v>
      </c>
      <c r="D30" s="1394" t="s">
        <v>637</v>
      </c>
      <c r="E30" s="1395"/>
      <c r="F30" s="546" t="s">
        <v>638</v>
      </c>
      <c r="G30" s="546" t="s">
        <v>639</v>
      </c>
      <c r="H30" s="546" t="s">
        <v>640</v>
      </c>
      <c r="I30" s="546" t="s">
        <v>641</v>
      </c>
    </row>
    <row r="31" spans="1:10" ht="147">
      <c r="A31" s="544" t="s">
        <v>642</v>
      </c>
      <c r="B31" s="541"/>
      <c r="C31" s="546" t="s">
        <v>643</v>
      </c>
      <c r="D31" s="1394" t="s">
        <v>644</v>
      </c>
      <c r="E31" s="1395"/>
      <c r="F31" s="546" t="s">
        <v>645</v>
      </c>
      <c r="G31" s="546" t="s">
        <v>646</v>
      </c>
      <c r="H31" s="546" t="s">
        <v>647</v>
      </c>
      <c r="I31" s="546" t="s">
        <v>648</v>
      </c>
    </row>
    <row r="32" spans="1:10" ht="23.4">
      <c r="A32" s="1405" t="s">
        <v>649</v>
      </c>
      <c r="B32" s="1405"/>
      <c r="C32" s="1405"/>
      <c r="D32" s="1405"/>
      <c r="E32" s="1405"/>
      <c r="F32" s="1405"/>
      <c r="G32" s="1405"/>
      <c r="H32" s="1405"/>
      <c r="I32" s="1405"/>
    </row>
    <row r="33" spans="1:9" ht="23.4">
      <c r="A33" s="547"/>
      <c r="B33" s="547"/>
      <c r="C33" s="547"/>
      <c r="D33" s="547"/>
      <c r="E33" s="547"/>
      <c r="F33" s="547"/>
      <c r="G33" s="547"/>
      <c r="H33" s="547"/>
      <c r="I33" s="547"/>
    </row>
    <row r="34" spans="1:9" ht="23.4">
      <c r="A34" s="548" t="s">
        <v>650</v>
      </c>
      <c r="B34" s="548"/>
      <c r="C34" s="548"/>
      <c r="D34" s="548"/>
      <c r="E34" s="548"/>
      <c r="F34" s="548"/>
      <c r="G34" s="548"/>
      <c r="H34" s="548"/>
      <c r="I34" s="548"/>
    </row>
    <row r="35" spans="1:9" ht="23.4">
      <c r="A35" s="1402" t="s">
        <v>651</v>
      </c>
      <c r="B35" s="1403"/>
      <c r="C35" s="1403"/>
      <c r="D35" s="1403"/>
      <c r="E35" s="1403"/>
      <c r="F35" s="1403"/>
      <c r="G35" s="1403"/>
      <c r="H35" s="1403"/>
      <c r="I35" s="1404"/>
    </row>
    <row r="36" spans="1:9" ht="28.2">
      <c r="A36" s="549"/>
      <c r="B36" s="539"/>
      <c r="C36" s="539"/>
      <c r="D36" s="539"/>
      <c r="E36" s="539"/>
      <c r="F36" s="539"/>
      <c r="G36" s="539"/>
      <c r="H36" s="539"/>
      <c r="I36" s="539"/>
    </row>
    <row r="37" spans="1:9" ht="40.200000000000003" customHeight="1">
      <c r="A37" s="550" t="s">
        <v>652</v>
      </c>
      <c r="B37" s="539"/>
      <c r="C37" s="551"/>
      <c r="D37" s="551"/>
      <c r="E37" s="539"/>
      <c r="F37" s="539"/>
      <c r="G37" s="539"/>
      <c r="H37" s="539"/>
      <c r="I37" s="539"/>
    </row>
    <row r="38" spans="1:9" ht="46.8">
      <c r="A38" s="1406" t="s">
        <v>653</v>
      </c>
      <c r="B38" s="1407"/>
      <c r="C38" s="552" t="s">
        <v>607</v>
      </c>
      <c r="D38" s="553" t="s">
        <v>654</v>
      </c>
      <c r="E38" s="553" t="s">
        <v>655</v>
      </c>
      <c r="F38" s="553" t="s">
        <v>656</v>
      </c>
      <c r="G38" s="554"/>
      <c r="H38" s="554"/>
      <c r="I38" s="554"/>
    </row>
    <row r="39" spans="1:9" ht="93.6">
      <c r="A39" s="1408" t="s">
        <v>657</v>
      </c>
      <c r="B39" s="1407"/>
      <c r="C39" s="555" t="s">
        <v>629</v>
      </c>
      <c r="D39" s="555" t="s">
        <v>633</v>
      </c>
      <c r="E39" s="555" t="s">
        <v>658</v>
      </c>
      <c r="F39" s="555" t="s">
        <v>659</v>
      </c>
      <c r="G39" s="554"/>
      <c r="H39" s="554"/>
      <c r="I39" s="554"/>
    </row>
    <row r="40" spans="1:9" ht="82.2">
      <c r="A40" s="1408" t="s">
        <v>660</v>
      </c>
      <c r="B40" s="1407"/>
      <c r="C40" s="555" t="s">
        <v>636</v>
      </c>
      <c r="D40" s="555" t="s">
        <v>640</v>
      </c>
      <c r="E40" s="555" t="s">
        <v>661</v>
      </c>
      <c r="F40" s="556" t="s">
        <v>662</v>
      </c>
      <c r="G40" s="539"/>
      <c r="H40" s="539"/>
      <c r="I40" s="539"/>
    </row>
    <row r="41" spans="1:9" ht="82.2">
      <c r="A41" s="1408" t="s">
        <v>663</v>
      </c>
      <c r="B41" s="1407"/>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3.4">
      <c r="A43" s="1399" t="s">
        <v>649</v>
      </c>
      <c r="B43" s="1399"/>
      <c r="C43" s="1399"/>
      <c r="D43" s="1399"/>
      <c r="E43" s="1399"/>
      <c r="F43" s="1399"/>
      <c r="G43" s="1399"/>
      <c r="H43" s="1399"/>
      <c r="I43" s="1399"/>
    </row>
    <row r="44" spans="1:9" ht="23.4">
      <c r="A44" s="548" t="s">
        <v>650</v>
      </c>
      <c r="B44" s="548"/>
      <c r="C44" s="548"/>
      <c r="D44" s="548"/>
      <c r="E44" s="548"/>
      <c r="F44" s="548"/>
      <c r="G44" s="548"/>
      <c r="H44" s="548"/>
      <c r="I44" s="548"/>
    </row>
    <row r="45" spans="1:9" ht="23.4">
      <c r="A45" s="1402" t="s">
        <v>651</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666</v>
      </c>
      <c r="D1" s="2"/>
      <c r="E1" s="2" t="s">
        <v>667</v>
      </c>
      <c r="G1" s="2" t="s">
        <v>668</v>
      </c>
      <c r="H1" s="1"/>
      <c r="J1" s="10" t="s">
        <v>669</v>
      </c>
      <c r="K1" s="10"/>
      <c r="T1" s="1"/>
      <c r="U1" s="1" t="s">
        <v>670</v>
      </c>
      <c r="V1" s="1"/>
      <c r="W1" s="2" t="s">
        <v>671</v>
      </c>
      <c r="X1" s="1"/>
      <c r="Y1" s="2" t="s">
        <v>672</v>
      </c>
      <c r="AA1" s="1" t="s">
        <v>673</v>
      </c>
    </row>
    <row r="2" spans="1:27" ht="24.6"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4">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4">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4">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4">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4">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4">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4">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4">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4">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4">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4">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4">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4">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4">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4">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4">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4">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4">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4">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4">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4">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4">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4">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4">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4">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4">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4">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4">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4">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4">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4">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4">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4">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4">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4">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4">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4">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3.8"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3.8"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3.8"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3.8"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3.8"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3.8"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3.8"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3.8"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2588</v>
      </c>
      <c r="AF1" s="170"/>
      <c r="AG1" s="2" t="s">
        <v>2589</v>
      </c>
      <c r="AM1" s="2" t="s">
        <v>2590</v>
      </c>
      <c r="AO1" s="2" t="s">
        <v>2591</v>
      </c>
      <c r="AQ1" s="171" t="s">
        <v>2592</v>
      </c>
      <c r="BA1" s="172"/>
      <c r="BB1" s="2" t="s">
        <v>2593</v>
      </c>
      <c r="BE1" s="2" t="s">
        <v>2594</v>
      </c>
    </row>
    <row r="2" spans="1:57">
      <c r="A2" s="1449" t="s">
        <v>2595</v>
      </c>
      <c r="B2" s="1452" t="s">
        <v>675</v>
      </c>
      <c r="C2" s="1455" t="s">
        <v>2596</v>
      </c>
      <c r="D2" s="1456"/>
      <c r="E2" s="1456"/>
      <c r="F2" s="1421"/>
      <c r="G2" s="1431" t="s">
        <v>2597</v>
      </c>
      <c r="H2" s="1424"/>
      <c r="I2" s="1457"/>
      <c r="J2" s="1431" t="s">
        <v>2598</v>
      </c>
      <c r="K2" s="1457"/>
      <c r="L2" s="1459" t="s">
        <v>2599</v>
      </c>
      <c r="M2" s="1460"/>
      <c r="N2" s="1460"/>
      <c r="O2" s="1460"/>
      <c r="P2" s="1460"/>
      <c r="Q2" s="1460"/>
      <c r="R2" s="1460"/>
      <c r="S2" s="1460"/>
      <c r="T2" s="1460"/>
      <c r="U2" s="1460"/>
      <c r="V2" s="1460"/>
      <c r="W2" s="1460"/>
      <c r="X2" s="1460"/>
      <c r="Y2" s="1460"/>
      <c r="Z2" s="1460"/>
      <c r="AA2" s="1460"/>
      <c r="AB2" s="1460"/>
      <c r="AC2" s="1460"/>
      <c r="AD2" s="1461"/>
      <c r="AE2" s="1418" t="s">
        <v>2600</v>
      </c>
      <c r="AF2" s="170"/>
      <c r="AG2" s="1434" t="s">
        <v>2601</v>
      </c>
      <c r="AH2" s="1446" t="s">
        <v>55</v>
      </c>
      <c r="AI2" s="1437" t="s">
        <v>2602</v>
      </c>
      <c r="AJ2" s="1438"/>
      <c r="AK2" s="1439"/>
      <c r="AM2" s="173" t="s">
        <v>2603</v>
      </c>
      <c r="AO2" s="9" t="s">
        <v>476</v>
      </c>
      <c r="AQ2" s="1431" t="s">
        <v>2596</v>
      </c>
      <c r="AR2" s="1424" t="s">
        <v>2597</v>
      </c>
      <c r="AS2" s="1424" t="s">
        <v>2598</v>
      </c>
      <c r="AT2" s="1424" t="s">
        <v>2604</v>
      </c>
      <c r="AU2" s="1424" t="s">
        <v>2605</v>
      </c>
      <c r="AV2" s="1424"/>
      <c r="AW2" s="1424"/>
      <c r="AX2" s="1424"/>
      <c r="AY2" s="1424"/>
      <c r="AZ2" s="1421"/>
      <c r="BB2" s="1427" t="s">
        <v>2601</v>
      </c>
      <c r="BC2" s="1421" t="s">
        <v>2606</v>
      </c>
      <c r="BE2" s="1418" t="s">
        <v>2607</v>
      </c>
    </row>
    <row r="3" spans="1:57" ht="12.6" thickBot="1">
      <c r="A3" s="1450"/>
      <c r="B3" s="1453"/>
      <c r="C3" s="1432" t="s">
        <v>2608</v>
      </c>
      <c r="D3" s="1425"/>
      <c r="E3" s="1425"/>
      <c r="F3" s="1458"/>
      <c r="G3" s="1432" t="s">
        <v>2609</v>
      </c>
      <c r="H3" s="1425"/>
      <c r="I3" s="1458"/>
      <c r="J3" s="1432"/>
      <c r="K3" s="1458"/>
      <c r="L3" s="1462" t="s">
        <v>2610</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483</v>
      </c>
      <c r="AQ3" s="1432"/>
      <c r="AR3" s="1425"/>
      <c r="AS3" s="1425"/>
      <c r="AT3" s="1425"/>
      <c r="AU3" s="1425"/>
      <c r="AV3" s="1425"/>
      <c r="AW3" s="1425"/>
      <c r="AX3" s="1425"/>
      <c r="AY3" s="1425"/>
      <c r="AZ3" s="1422"/>
      <c r="BB3" s="1428"/>
      <c r="BC3" s="1422"/>
      <c r="BE3" s="1419"/>
    </row>
    <row r="4" spans="1:57" ht="24.6" thickBot="1">
      <c r="A4" s="1451"/>
      <c r="B4" s="1454"/>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36"/>
      <c r="AH4" s="1448"/>
      <c r="AI4" s="1443"/>
      <c r="AJ4" s="1444"/>
      <c r="AK4" s="1445"/>
      <c r="AO4" s="7" t="s">
        <v>484</v>
      </c>
      <c r="AQ4" s="1433"/>
      <c r="AR4" s="1426"/>
      <c r="AS4" s="1426"/>
      <c r="AT4" s="1426"/>
      <c r="AU4" s="1426"/>
      <c r="AV4" s="1426"/>
      <c r="AW4" s="1426"/>
      <c r="AX4" s="1426"/>
      <c r="AY4" s="1426"/>
      <c r="AZ4" s="175" t="s">
        <v>2620</v>
      </c>
      <c r="BB4" s="1429"/>
      <c r="BC4" s="1423"/>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6"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6"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ht="24">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6"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6"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ht="24">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6"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709" t="s">
        <v>2646</v>
      </c>
      <c r="AH50" s="709"/>
    </row>
    <row r="51" spans="33:34">
      <c r="AG51" s="1430" t="s">
        <v>2647</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